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0" documentId="13_ncr:1_{EE008C03-9891-4E60-BADA-E8AB75CC1E6D}" xr6:coauthVersionLast="47" xr6:coauthVersionMax="47" xr10:uidLastSave="{00000000-0000-0000-0000-000000000000}"/>
  <bookViews>
    <workbookView xWindow="-120" yWindow="-120" windowWidth="29040" windowHeight="15525" tabRatio="800" xr2:uid="{00000000-000D-0000-FFFF-FFFF00000000}"/>
  </bookViews>
  <sheets>
    <sheet name="Buget 2024" sheetId="39" r:id="rId1"/>
    <sheet name="Infl bvc " sheetId="40" r:id="rId2"/>
    <sheet name="Ex vs bvc" sheetId="41" r:id="rId3"/>
  </sheets>
  <definedNames>
    <definedName name="_xlnm.Print_Area" localSheetId="0">'Buget 2024'!$A$1:$D$651</definedName>
    <definedName name="_xlnm.Print_Area" localSheetId="2">'Ex vs bvc'!$A$1:$E$640</definedName>
    <definedName name="_xlnm.Print_Area" localSheetId="1">'Infl bvc '!$A$1:$I$639</definedName>
    <definedName name="_xlnm.Print_Titles" localSheetId="0">'Buget 2024'!$13:$14</definedName>
    <definedName name="_xlnm.Print_Titles" localSheetId="2">'Ex vs bvc'!$13:$14</definedName>
    <definedName name="_xlnm.Print_Titles" localSheetId="1">'Infl bvc '!$A:$C,'Infl bvc '!$13:$14</definedName>
  </definedNames>
  <calcPr calcId="181029"/>
</workbook>
</file>

<file path=xl/calcChain.xml><?xml version="1.0" encoding="utf-8"?>
<calcChain xmlns="http://schemas.openxmlformats.org/spreadsheetml/2006/main">
  <c r="D37" i="39" l="1"/>
  <c r="I598" i="40"/>
  <c r="I595" i="40" s="1"/>
  <c r="I597" i="40"/>
  <c r="H595" i="40"/>
  <c r="I594" i="40"/>
  <c r="H594" i="40"/>
  <c r="I600" i="40"/>
  <c r="G596" i="40"/>
  <c r="G597" i="40"/>
  <c r="G598" i="40"/>
  <c r="E594" i="41"/>
  <c r="E595" i="41"/>
  <c r="D595" i="41"/>
  <c r="D594" i="41"/>
  <c r="E598" i="41"/>
  <c r="E597" i="41"/>
  <c r="F595" i="40"/>
  <c r="E595" i="40"/>
  <c r="F594" i="40"/>
  <c r="E594" i="40"/>
  <c r="D595" i="40"/>
  <c r="D594" i="40"/>
  <c r="E598" i="40"/>
  <c r="F598" i="40" s="1"/>
  <c r="E597" i="40"/>
  <c r="F597" i="40" s="1"/>
  <c r="D595" i="39"/>
  <c r="D594" i="39"/>
  <c r="D514" i="39" l="1"/>
  <c r="D508" i="39"/>
  <c r="D51" i="39"/>
  <c r="D550" i="39"/>
  <c r="D549" i="39"/>
  <c r="D513" i="39"/>
  <c r="D511" i="39"/>
  <c r="D507" i="39"/>
  <c r="D45" i="39"/>
  <c r="D439" i="41"/>
  <c r="D438" i="41"/>
  <c r="D298" i="39"/>
  <c r="D297" i="39"/>
  <c r="D256" i="39"/>
  <c r="D255" i="39"/>
  <c r="G443" i="41"/>
  <c r="H443" i="41" s="1"/>
  <c r="H439" i="40"/>
  <c r="H438" i="40"/>
  <c r="D439" i="40"/>
  <c r="D438" i="40"/>
  <c r="E445" i="40"/>
  <c r="F445" i="40" s="1"/>
  <c r="G443" i="40"/>
  <c r="D460" i="39"/>
  <c r="D459" i="39"/>
  <c r="D439" i="39"/>
  <c r="D438" i="39"/>
  <c r="D445" i="39"/>
  <c r="E445" i="41" s="1"/>
  <c r="G445" i="41" s="1"/>
  <c r="H445" i="41" s="1"/>
  <c r="D444" i="39"/>
  <c r="E444" i="40" s="1"/>
  <c r="F444" i="40" s="1"/>
  <c r="E444" i="41" l="1"/>
  <c r="G444" i="41" s="1"/>
  <c r="H444" i="41" s="1"/>
  <c r="I444" i="40"/>
  <c r="G444" i="40"/>
  <c r="I445" i="40"/>
  <c r="G445" i="40"/>
  <c r="D361" i="39" l="1"/>
  <c r="D360" i="39"/>
  <c r="D334" i="39"/>
  <c r="D333" i="39"/>
  <c r="D328" i="39"/>
  <c r="D327" i="39"/>
  <c r="D322" i="39"/>
  <c r="D321" i="39"/>
  <c r="D319" i="39"/>
  <c r="D318" i="39"/>
  <c r="D304" i="39"/>
  <c r="D303" i="39"/>
  <c r="D295" i="39"/>
  <c r="D294" i="39"/>
  <c r="D292" i="39"/>
  <c r="D291" i="39"/>
  <c r="D289" i="39"/>
  <c r="D288" i="39"/>
  <c r="D283" i="39"/>
  <c r="D282" i="39"/>
  <c r="D277" i="39"/>
  <c r="D276" i="39"/>
  <c r="D271" i="39"/>
  <c r="D270" i="39"/>
  <c r="D268" i="39"/>
  <c r="D267" i="39"/>
  <c r="D265" i="39"/>
  <c r="D264" i="39"/>
  <c r="D253" i="39"/>
  <c r="D252" i="39"/>
  <c r="D250" i="39"/>
  <c r="D249" i="39"/>
  <c r="D238" i="39"/>
  <c r="D237" i="39"/>
  <c r="D235" i="39"/>
  <c r="D234" i="39"/>
  <c r="D232" i="39"/>
  <c r="D231" i="39"/>
  <c r="D229" i="39"/>
  <c r="D228" i="39"/>
  <c r="D226" i="39"/>
  <c r="D225" i="39"/>
  <c r="D223" i="39"/>
  <c r="D222" i="39"/>
  <c r="D220" i="39"/>
  <c r="D219" i="39"/>
  <c r="D217" i="39"/>
  <c r="D216" i="39"/>
  <c r="D214" i="39"/>
  <c r="D213" i="39"/>
  <c r="D211" i="39"/>
  <c r="D210" i="39"/>
  <c r="D208" i="39"/>
  <c r="D207" i="39"/>
  <c r="D196" i="39"/>
  <c r="D195" i="39"/>
  <c r="D193" i="39"/>
  <c r="D192" i="39"/>
  <c r="D187" i="39"/>
  <c r="D186" i="39"/>
  <c r="D184" i="39"/>
  <c r="D183" i="39"/>
  <c r="D181" i="39"/>
  <c r="D180" i="39"/>
  <c r="D178" i="39"/>
  <c r="D177" i="39"/>
  <c r="D160" i="39"/>
  <c r="D159" i="39"/>
  <c r="D141" i="39"/>
  <c r="D139" i="39"/>
  <c r="D138" i="39"/>
  <c r="D76" i="39"/>
  <c r="I77" i="40"/>
  <c r="I75" i="40"/>
  <c r="D24" i="39"/>
  <c r="D31" i="39"/>
  <c r="D26" i="39"/>
  <c r="G164" i="41" l="1"/>
  <c r="H164" i="41" s="1"/>
  <c r="D561" i="41" l="1"/>
  <c r="D555" i="41"/>
  <c r="D469" i="41"/>
  <c r="D471" i="41"/>
  <c r="D459" i="41"/>
  <c r="D343" i="41"/>
  <c r="D342" i="41"/>
  <c r="D297" i="41"/>
  <c r="D249" i="41"/>
  <c r="D178" i="41"/>
  <c r="D177" i="41"/>
  <c r="D211" i="41"/>
  <c r="D142" i="41" l="1"/>
  <c r="D138" i="41"/>
  <c r="D22" i="39"/>
  <c r="D20" i="39"/>
  <c r="D61" i="39" l="1"/>
  <c r="D31" i="41" l="1"/>
  <c r="H484" i="39"/>
  <c r="H483" i="39"/>
  <c r="D568" i="39"/>
  <c r="D567" i="39"/>
  <c r="D38" i="39"/>
  <c r="D198" i="39"/>
  <c r="I622" i="40"/>
  <c r="I619" i="40" s="1"/>
  <c r="I621" i="40"/>
  <c r="I618" i="40" s="1"/>
  <c r="I532" i="40"/>
  <c r="I531" i="40"/>
  <c r="I526" i="40"/>
  <c r="I525" i="40"/>
  <c r="I523" i="40"/>
  <c r="I522" i="40"/>
  <c r="I520" i="40"/>
  <c r="I519" i="40"/>
  <c r="I478" i="40"/>
  <c r="I475" i="40" s="1"/>
  <c r="I477" i="40"/>
  <c r="I474" i="40" s="1"/>
  <c r="I433" i="40"/>
  <c r="I427" i="40" s="1"/>
  <c r="I432" i="40"/>
  <c r="I426" i="40" s="1"/>
  <c r="I424" i="40"/>
  <c r="I423" i="40"/>
  <c r="I421" i="40"/>
  <c r="I420" i="40"/>
  <c r="I406" i="40"/>
  <c r="I405" i="40"/>
  <c r="I397" i="40"/>
  <c r="I396" i="40"/>
  <c r="I388" i="40"/>
  <c r="I387" i="40"/>
  <c r="I376" i="40"/>
  <c r="I375" i="40"/>
  <c r="I367" i="40"/>
  <c r="I364" i="40" s="1"/>
  <c r="I103" i="40" s="1"/>
  <c r="I366" i="40"/>
  <c r="I363" i="40" s="1"/>
  <c r="I102" i="40" s="1"/>
  <c r="I80" i="40"/>
  <c r="I66" i="40"/>
  <c r="I53" i="40"/>
  <c r="I32" i="40"/>
  <c r="H631" i="40"/>
  <c r="H628" i="40" s="1"/>
  <c r="H630" i="40"/>
  <c r="H627" i="40" s="1"/>
  <c r="H622" i="40"/>
  <c r="H619" i="40" s="1"/>
  <c r="H621" i="40"/>
  <c r="H618" i="40" s="1"/>
  <c r="H604" i="40"/>
  <c r="H603" i="40"/>
  <c r="H592" i="40"/>
  <c r="H591" i="40"/>
  <c r="H577" i="40"/>
  <c r="H574" i="40" s="1"/>
  <c r="H571" i="40" s="1"/>
  <c r="H576" i="40"/>
  <c r="H573" i="40" s="1"/>
  <c r="H570" i="40" s="1"/>
  <c r="H565" i="40"/>
  <c r="H115" i="40" s="1"/>
  <c r="H564" i="40"/>
  <c r="H114" i="40" s="1"/>
  <c r="H553" i="40"/>
  <c r="H112" i="40" s="1"/>
  <c r="H552" i="40"/>
  <c r="H111" i="40" s="1"/>
  <c r="H540" i="40"/>
  <c r="H541" i="40"/>
  <c r="H532" i="40"/>
  <c r="H531" i="40"/>
  <c r="H526" i="40"/>
  <c r="H525" i="40"/>
  <c r="H523" i="40"/>
  <c r="H522" i="40"/>
  <c r="H520" i="40"/>
  <c r="H519" i="40"/>
  <c r="H504" i="40"/>
  <c r="H505" i="40"/>
  <c r="H496" i="40"/>
  <c r="H493" i="40" s="1"/>
  <c r="H495" i="40"/>
  <c r="H492" i="40" s="1"/>
  <c r="H478" i="40"/>
  <c r="H475" i="40" s="1"/>
  <c r="H477" i="40"/>
  <c r="H474" i="40" s="1"/>
  <c r="H456" i="40"/>
  <c r="H453" i="40" s="1"/>
  <c r="H457" i="40"/>
  <c r="H454" i="40" s="1"/>
  <c r="H109" i="40"/>
  <c r="H108" i="40"/>
  <c r="H433" i="40"/>
  <c r="H427" i="40" s="1"/>
  <c r="H432" i="40"/>
  <c r="H426" i="40" s="1"/>
  <c r="H424" i="40"/>
  <c r="H423" i="40"/>
  <c r="H421" i="40"/>
  <c r="H418" i="40" s="1"/>
  <c r="H420" i="40"/>
  <c r="H406" i="40"/>
  <c r="H405" i="40"/>
  <c r="H397" i="40"/>
  <c r="H396" i="40"/>
  <c r="H388" i="40"/>
  <c r="H387" i="40"/>
  <c r="H376" i="40"/>
  <c r="H375" i="40"/>
  <c r="H367" i="40"/>
  <c r="H364" i="40" s="1"/>
  <c r="H103" i="40" s="1"/>
  <c r="H366" i="40"/>
  <c r="H363" i="40" s="1"/>
  <c r="H102" i="40" s="1"/>
  <c r="H358" i="40"/>
  <c r="H357" i="40"/>
  <c r="H351" i="40"/>
  <c r="H352" i="40"/>
  <c r="H340" i="40"/>
  <c r="H339" i="40"/>
  <c r="H316" i="40"/>
  <c r="H315" i="40"/>
  <c r="H274" i="40"/>
  <c r="H273" i="40"/>
  <c r="H262" i="40"/>
  <c r="H261" i="40"/>
  <c r="H247" i="40"/>
  <c r="H246" i="40"/>
  <c r="H241" i="40"/>
  <c r="H240" i="40"/>
  <c r="H204" i="40"/>
  <c r="H205" i="40"/>
  <c r="H175" i="40"/>
  <c r="H174" i="40"/>
  <c r="H163" i="40"/>
  <c r="H162" i="40"/>
  <c r="H136" i="40"/>
  <c r="H135" i="40"/>
  <c r="H82" i="40"/>
  <c r="H80" i="40"/>
  <c r="H78" i="40"/>
  <c r="H74" i="40"/>
  <c r="H70" i="40"/>
  <c r="H66" i="40"/>
  <c r="H63" i="40"/>
  <c r="H62" i="40" s="1"/>
  <c r="H58" i="40"/>
  <c r="H55" i="40"/>
  <c r="H53" i="40"/>
  <c r="H50" i="40"/>
  <c r="H46" i="40"/>
  <c r="H39" i="40"/>
  <c r="H36" i="40" s="1"/>
  <c r="H32" i="40"/>
  <c r="H29" i="40"/>
  <c r="H27" i="40" s="1"/>
  <c r="H25" i="40"/>
  <c r="H23" i="40"/>
  <c r="H21" i="40"/>
  <c r="H19" i="40"/>
  <c r="H18" i="40" s="1"/>
  <c r="D325" i="39"/>
  <c r="D324" i="39"/>
  <c r="D313" i="39"/>
  <c r="D312" i="39"/>
  <c r="D301" i="39"/>
  <c r="D300" i="39"/>
  <c r="D286" i="39"/>
  <c r="D285" i="39"/>
  <c r="D280" i="39"/>
  <c r="D279" i="39"/>
  <c r="D259" i="39"/>
  <c r="D258" i="39"/>
  <c r="D199" i="39"/>
  <c r="D172" i="39"/>
  <c r="D171" i="39"/>
  <c r="D169" i="39"/>
  <c r="D168" i="39"/>
  <c r="D166" i="39"/>
  <c r="D165" i="39"/>
  <c r="H529" i="40" l="1"/>
  <c r="H516" i="40"/>
  <c r="H501" i="40" s="1"/>
  <c r="I516" i="40"/>
  <c r="H451" i="40"/>
  <c r="H118" i="40" s="1"/>
  <c r="H450" i="40"/>
  <c r="H117" i="40" s="1"/>
  <c r="H417" i="40"/>
  <c r="H372" i="40" s="1"/>
  <c r="H105" i="40" s="1"/>
  <c r="H588" i="40"/>
  <c r="I417" i="40"/>
  <c r="H517" i="40"/>
  <c r="H502" i="40" s="1"/>
  <c r="H490" i="40" s="1"/>
  <c r="H487" i="40" s="1"/>
  <c r="I418" i="40"/>
  <c r="I373" i="40" s="1"/>
  <c r="H528" i="40"/>
  <c r="I517" i="40"/>
  <c r="H337" i="40"/>
  <c r="H202" i="40"/>
  <c r="H97" i="40" s="1"/>
  <c r="H616" i="40"/>
  <c r="H613" i="40" s="1"/>
  <c r="H610" i="40" s="1"/>
  <c r="H589" i="40"/>
  <c r="H336" i="40"/>
  <c r="H133" i="40"/>
  <c r="H94" i="40" s="1"/>
  <c r="H132" i="40"/>
  <c r="H93" i="40" s="1"/>
  <c r="H65" i="40"/>
  <c r="H52" i="40"/>
  <c r="H17" i="40"/>
  <c r="H16" i="40" s="1"/>
  <c r="I372" i="40"/>
  <c r="H373" i="40"/>
  <c r="H106" i="40" s="1"/>
  <c r="H615" i="40"/>
  <c r="H612" i="40" s="1"/>
  <c r="H609" i="40" s="1"/>
  <c r="H35" i="40"/>
  <c r="H201" i="40"/>
  <c r="H96" i="40" s="1"/>
  <c r="D157" i="39"/>
  <c r="D156" i="39"/>
  <c r="D151" i="39"/>
  <c r="D150" i="39"/>
  <c r="D148" i="39"/>
  <c r="D147" i="39"/>
  <c r="D145" i="39"/>
  <c r="D144" i="39"/>
  <c r="D142" i="39"/>
  <c r="D355" i="39"/>
  <c r="D354" i="39"/>
  <c r="E61" i="41"/>
  <c r="E60" i="41"/>
  <c r="E59" i="41"/>
  <c r="D58" i="41"/>
  <c r="E61" i="40"/>
  <c r="F61" i="40" s="1"/>
  <c r="E60" i="40"/>
  <c r="F60" i="40" s="1"/>
  <c r="I60" i="40" s="1"/>
  <c r="E59" i="40"/>
  <c r="F59" i="40" s="1"/>
  <c r="I59" i="40" s="1"/>
  <c r="D58" i="40"/>
  <c r="D58" i="39"/>
  <c r="D57" i="39"/>
  <c r="D472" i="39"/>
  <c r="D471" i="39"/>
  <c r="D469" i="39"/>
  <c r="D468" i="39"/>
  <c r="D463" i="39"/>
  <c r="D462" i="39"/>
  <c r="D163" i="39"/>
  <c r="D162" i="39"/>
  <c r="D163" i="41"/>
  <c r="D162" i="41"/>
  <c r="E166" i="41"/>
  <c r="G166" i="41" s="1"/>
  <c r="H166" i="41" s="1"/>
  <c r="E165" i="41"/>
  <c r="G165" i="41" s="1"/>
  <c r="H165" i="41" s="1"/>
  <c r="D163" i="40"/>
  <c r="D162" i="40"/>
  <c r="E166" i="40"/>
  <c r="F166" i="40" s="1"/>
  <c r="E165" i="40"/>
  <c r="F165" i="40" s="1"/>
  <c r="G164" i="40"/>
  <c r="H489" i="40" l="1"/>
  <c r="H486" i="40" s="1"/>
  <c r="H483" i="40" s="1"/>
  <c r="H99" i="40"/>
  <c r="H100" i="40"/>
  <c r="H91" i="40" s="1"/>
  <c r="H88" i="40" s="1"/>
  <c r="G165" i="40"/>
  <c r="I165" i="40"/>
  <c r="G60" i="40"/>
  <c r="G59" i="40"/>
  <c r="G166" i="40"/>
  <c r="I166" i="40"/>
  <c r="G61" i="40"/>
  <c r="I61" i="40"/>
  <c r="I58" i="40" s="1"/>
  <c r="H484" i="40"/>
  <c r="H34" i="40"/>
  <c r="H15" i="40" s="1"/>
  <c r="H90" i="40"/>
  <c r="H87" i="40" s="1"/>
  <c r="H129" i="40"/>
  <c r="H126" i="40" s="1"/>
  <c r="H123" i="40" s="1"/>
  <c r="H130" i="40"/>
  <c r="H127" i="40" s="1"/>
  <c r="H124" i="40" s="1"/>
  <c r="E58" i="40"/>
  <c r="E58" i="41"/>
  <c r="F58" i="40"/>
  <c r="D550" i="40"/>
  <c r="D511" i="40"/>
  <c r="D508" i="40"/>
  <c r="D51" i="40"/>
  <c r="D45" i="40"/>
  <c r="I87" i="41"/>
  <c r="H120" i="40" l="1"/>
  <c r="H121" i="40"/>
  <c r="H635" i="40"/>
  <c r="G58" i="40"/>
  <c r="D631" i="40"/>
  <c r="D628" i="40" s="1"/>
  <c r="D630" i="40"/>
  <c r="D627" i="40" s="1"/>
  <c r="D622" i="40"/>
  <c r="D619" i="40" s="1"/>
  <c r="D621" i="40"/>
  <c r="D618" i="40" s="1"/>
  <c r="D615" i="40" s="1"/>
  <c r="D612" i="40" s="1"/>
  <c r="D609" i="40" s="1"/>
  <c r="D604" i="40"/>
  <c r="D603" i="40"/>
  <c r="D592" i="40"/>
  <c r="D591" i="40"/>
  <c r="D586" i="40"/>
  <c r="D580" i="40"/>
  <c r="D577" i="40" s="1"/>
  <c r="D576" i="40"/>
  <c r="D573" i="40" s="1"/>
  <c r="D570" i="40" s="1"/>
  <c r="D568" i="40"/>
  <c r="D565" i="40" s="1"/>
  <c r="D115" i="40" s="1"/>
  <c r="D567" i="40"/>
  <c r="D564" i="40" s="1"/>
  <c r="D114" i="40" s="1"/>
  <c r="D562" i="40"/>
  <c r="D553" i="40" s="1"/>
  <c r="D112" i="40" s="1"/>
  <c r="D552" i="40"/>
  <c r="D111" i="40" s="1"/>
  <c r="D549" i="40"/>
  <c r="D540" i="40" s="1"/>
  <c r="D541" i="40"/>
  <c r="D532" i="40"/>
  <c r="D531" i="40"/>
  <c r="D526" i="40"/>
  <c r="D525" i="40"/>
  <c r="D523" i="40"/>
  <c r="D522" i="40"/>
  <c r="D520" i="40"/>
  <c r="D519" i="40"/>
  <c r="D510" i="40"/>
  <c r="D505" i="40"/>
  <c r="D507" i="40"/>
  <c r="D496" i="40"/>
  <c r="D495" i="40"/>
  <c r="D492" i="40" s="1"/>
  <c r="D493" i="40"/>
  <c r="D478" i="40"/>
  <c r="D475" i="40" s="1"/>
  <c r="D477" i="40"/>
  <c r="D474" i="40" s="1"/>
  <c r="D469" i="40"/>
  <c r="D468" i="40"/>
  <c r="D463" i="40"/>
  <c r="D462" i="40"/>
  <c r="D460" i="40"/>
  <c r="D459" i="40"/>
  <c r="D109" i="40"/>
  <c r="D108" i="40"/>
  <c r="D433" i="40"/>
  <c r="D427" i="40" s="1"/>
  <c r="D432" i="40"/>
  <c r="D426" i="40" s="1"/>
  <c r="D424" i="40"/>
  <c r="D423" i="40"/>
  <c r="D421" i="40"/>
  <c r="D420" i="40"/>
  <c r="D406" i="40"/>
  <c r="D405" i="40"/>
  <c r="D397" i="40"/>
  <c r="D396" i="40"/>
  <c r="D388" i="40"/>
  <c r="D387" i="40"/>
  <c r="D376" i="40"/>
  <c r="D375" i="40"/>
  <c r="D367" i="40"/>
  <c r="D364" i="40" s="1"/>
  <c r="D103" i="40" s="1"/>
  <c r="D366" i="40"/>
  <c r="D363" i="40" s="1"/>
  <c r="D102" i="40" s="1"/>
  <c r="D361" i="40"/>
  <c r="D358" i="40" s="1"/>
  <c r="D360" i="40"/>
  <c r="D357" i="40" s="1"/>
  <c r="D355" i="40"/>
  <c r="D352" i="40" s="1"/>
  <c r="D354" i="40"/>
  <c r="D351" i="40" s="1"/>
  <c r="D340" i="40"/>
  <c r="D339" i="40"/>
  <c r="D334" i="40"/>
  <c r="D333" i="40"/>
  <c r="D325" i="40"/>
  <c r="D324" i="40"/>
  <c r="D322" i="40"/>
  <c r="D321" i="40"/>
  <c r="D319" i="40"/>
  <c r="D318" i="40"/>
  <c r="D313" i="40"/>
  <c r="D312" i="40"/>
  <c r="D301" i="40"/>
  <c r="D300" i="40"/>
  <c r="D298" i="40"/>
  <c r="D297" i="40"/>
  <c r="D295" i="40"/>
  <c r="D294" i="40"/>
  <c r="D289" i="40"/>
  <c r="D288" i="40"/>
  <c r="D286" i="40"/>
  <c r="D285" i="40"/>
  <c r="D283" i="40"/>
  <c r="D282" i="40"/>
  <c r="D274" i="40"/>
  <c r="D273" i="40"/>
  <c r="D271" i="40"/>
  <c r="D270" i="40"/>
  <c r="D268" i="40"/>
  <c r="D267" i="40"/>
  <c r="D265" i="40"/>
  <c r="D264" i="40"/>
  <c r="D247" i="40"/>
  <c r="D246" i="40"/>
  <c r="D241" i="40"/>
  <c r="D240" i="40"/>
  <c r="D238" i="40"/>
  <c r="D237" i="40"/>
  <c r="D235" i="40"/>
  <c r="D234" i="40"/>
  <c r="D232" i="40"/>
  <c r="D231" i="40"/>
  <c r="D229" i="40"/>
  <c r="D228" i="40"/>
  <c r="D223" i="40"/>
  <c r="D222" i="40"/>
  <c r="D220" i="40"/>
  <c r="D219" i="40"/>
  <c r="D175" i="40"/>
  <c r="D174" i="40"/>
  <c r="D136" i="40"/>
  <c r="D135" i="40"/>
  <c r="D82" i="40"/>
  <c r="D80" i="40"/>
  <c r="D78" i="40"/>
  <c r="D74" i="40"/>
  <c r="D70" i="40"/>
  <c r="D66" i="40"/>
  <c r="D64" i="40"/>
  <c r="D63" i="40" s="1"/>
  <c r="D62" i="40" s="1"/>
  <c r="D55" i="40"/>
  <c r="D53" i="40"/>
  <c r="D52" i="40" s="1"/>
  <c r="D50" i="40"/>
  <c r="D49" i="40"/>
  <c r="D46" i="40" s="1"/>
  <c r="D42" i="40"/>
  <c r="D41" i="40"/>
  <c r="D40" i="40"/>
  <c r="D38" i="40"/>
  <c r="D32" i="40"/>
  <c r="D29" i="40"/>
  <c r="D27" i="40" s="1"/>
  <c r="D25" i="40"/>
  <c r="D23" i="40"/>
  <c r="D21" i="40"/>
  <c r="D19" i="40"/>
  <c r="D18" i="40" s="1"/>
  <c r="D586" i="39"/>
  <c r="D580" i="39"/>
  <c r="D42" i="39"/>
  <c r="D40" i="39"/>
  <c r="D433" i="39"/>
  <c r="D432" i="39"/>
  <c r="D424" i="39"/>
  <c r="D423" i="39"/>
  <c r="D421" i="39"/>
  <c r="D420" i="39"/>
  <c r="D526" i="39"/>
  <c r="D525" i="39"/>
  <c r="D523" i="39"/>
  <c r="D522" i="39"/>
  <c r="D519" i="39"/>
  <c r="D520" i="39"/>
  <c r="D510" i="39"/>
  <c r="D616" i="40" l="1"/>
  <c r="D613" i="40" s="1"/>
  <c r="D610" i="40" s="1"/>
  <c r="D132" i="40"/>
  <c r="D93" i="40" s="1"/>
  <c r="D261" i="40"/>
  <c r="D504" i="40"/>
  <c r="D589" i="40"/>
  <c r="D418" i="40"/>
  <c r="D373" i="40" s="1"/>
  <c r="D39" i="40"/>
  <c r="D36" i="40" s="1"/>
  <c r="D35" i="40" s="1"/>
  <c r="D204" i="40"/>
  <c r="D262" i="40"/>
  <c r="D337" i="40"/>
  <c r="D205" i="40"/>
  <c r="D133" i="40"/>
  <c r="D94" i="40" s="1"/>
  <c r="D316" i="40"/>
  <c r="D315" i="40"/>
  <c r="D516" i="40"/>
  <c r="D501" i="40" s="1"/>
  <c r="D574" i="40"/>
  <c r="D571" i="40" s="1"/>
  <c r="D417" i="40"/>
  <c r="D372" i="40" s="1"/>
  <c r="D457" i="40"/>
  <c r="D454" i="40" s="1"/>
  <c r="D451" i="40" s="1"/>
  <c r="D517" i="40"/>
  <c r="D502" i="40" s="1"/>
  <c r="D588" i="40"/>
  <c r="D456" i="40"/>
  <c r="D453" i="40" s="1"/>
  <c r="D450" i="40" s="1"/>
  <c r="D117" i="40" s="1"/>
  <c r="D529" i="40"/>
  <c r="D65" i="40"/>
  <c r="D17" i="40"/>
  <c r="D16" i="40" s="1"/>
  <c r="D336" i="40"/>
  <c r="D528" i="40"/>
  <c r="D32" i="41"/>
  <c r="E33" i="41"/>
  <c r="G33" i="41" s="1"/>
  <c r="H33" i="41" s="1"/>
  <c r="E33" i="40"/>
  <c r="E32" i="40" s="1"/>
  <c r="D32" i="39"/>
  <c r="D202" i="40" l="1"/>
  <c r="D97" i="40" s="1"/>
  <c r="D201" i="40"/>
  <c r="D96" i="40" s="1"/>
  <c r="D100" i="40"/>
  <c r="D118" i="40"/>
  <c r="D34" i="40"/>
  <c r="D15" i="40" s="1"/>
  <c r="D489" i="40"/>
  <c r="D486" i="40" s="1"/>
  <c r="D483" i="40" s="1"/>
  <c r="D99" i="40"/>
  <c r="D490" i="40"/>
  <c r="D487" i="40" s="1"/>
  <c r="D484" i="40" s="1"/>
  <c r="D106" i="40"/>
  <c r="D105" i="40"/>
  <c r="E32" i="41"/>
  <c r="G32" i="41" s="1"/>
  <c r="H32" i="41" s="1"/>
  <c r="F33" i="40"/>
  <c r="D130" i="40" l="1"/>
  <c r="D127" i="40" s="1"/>
  <c r="D124" i="40" s="1"/>
  <c r="D121" i="40" s="1"/>
  <c r="D91" i="40"/>
  <c r="D88" i="40" s="1"/>
  <c r="D635" i="40" s="1"/>
  <c r="D129" i="40"/>
  <c r="D126" i="40" s="1"/>
  <c r="D123" i="40" s="1"/>
  <c r="D120" i="40" s="1"/>
  <c r="D90" i="40"/>
  <c r="D87" i="40" s="1"/>
  <c r="F32" i="40"/>
  <c r="G32" i="40" s="1"/>
  <c r="G33" i="40"/>
  <c r="D562" i="39" l="1"/>
  <c r="D49" i="39"/>
  <c r="G28" i="41"/>
  <c r="H28" i="41" s="1"/>
  <c r="G86" i="41"/>
  <c r="H86" i="41" s="1"/>
  <c r="G89" i="41"/>
  <c r="H89" i="41" s="1"/>
  <c r="G92" i="41"/>
  <c r="H92" i="41" s="1"/>
  <c r="G95" i="41"/>
  <c r="H95" i="41" s="1"/>
  <c r="G98" i="41"/>
  <c r="H98" i="41" s="1"/>
  <c r="G101" i="41"/>
  <c r="H101" i="41" s="1"/>
  <c r="G104" i="41"/>
  <c r="H104" i="41" s="1"/>
  <c r="G107" i="41"/>
  <c r="H107" i="41" s="1"/>
  <c r="G110" i="41"/>
  <c r="H110" i="41" s="1"/>
  <c r="G113" i="41"/>
  <c r="H113" i="41" s="1"/>
  <c r="G116" i="41"/>
  <c r="H116" i="41" s="1"/>
  <c r="G119" i="41"/>
  <c r="H119" i="41" s="1"/>
  <c r="G122" i="41"/>
  <c r="H122" i="41" s="1"/>
  <c r="G125" i="41"/>
  <c r="H125" i="41" s="1"/>
  <c r="G128" i="41"/>
  <c r="H128" i="41" s="1"/>
  <c r="G131" i="41"/>
  <c r="H131" i="41" s="1"/>
  <c r="G134" i="41"/>
  <c r="H134" i="41" s="1"/>
  <c r="G137" i="41"/>
  <c r="H137" i="41" s="1"/>
  <c r="G140" i="41"/>
  <c r="H140" i="41" s="1"/>
  <c r="G143" i="41"/>
  <c r="H143" i="41" s="1"/>
  <c r="G146" i="41"/>
  <c r="H146" i="41" s="1"/>
  <c r="G149" i="41"/>
  <c r="H149" i="41" s="1"/>
  <c r="G152" i="41"/>
  <c r="H152" i="41" s="1"/>
  <c r="G155" i="41"/>
  <c r="H155" i="41" s="1"/>
  <c r="G158" i="41"/>
  <c r="H158" i="41" s="1"/>
  <c r="G161" i="41"/>
  <c r="H161" i="41" s="1"/>
  <c r="G167" i="41"/>
  <c r="H167" i="41" s="1"/>
  <c r="G170" i="41"/>
  <c r="H170" i="41" s="1"/>
  <c r="G173" i="41"/>
  <c r="H173" i="41" s="1"/>
  <c r="G176" i="41"/>
  <c r="H176" i="41" s="1"/>
  <c r="G179" i="41"/>
  <c r="H179" i="41" s="1"/>
  <c r="G182" i="41"/>
  <c r="H182" i="41" s="1"/>
  <c r="G185" i="41"/>
  <c r="H185" i="41" s="1"/>
  <c r="G188" i="41"/>
  <c r="H188" i="41" s="1"/>
  <c r="G191" i="41"/>
  <c r="H191" i="41" s="1"/>
  <c r="G194" i="41"/>
  <c r="H194" i="41" s="1"/>
  <c r="G197" i="41"/>
  <c r="H197" i="41" s="1"/>
  <c r="G200" i="41"/>
  <c r="H200" i="41" s="1"/>
  <c r="G203" i="41"/>
  <c r="H203" i="41" s="1"/>
  <c r="G206" i="41"/>
  <c r="H206" i="41" s="1"/>
  <c r="G209" i="41"/>
  <c r="H209" i="41" s="1"/>
  <c r="G212" i="41"/>
  <c r="H212" i="41" s="1"/>
  <c r="G215" i="41"/>
  <c r="H215" i="41" s="1"/>
  <c r="G218" i="41"/>
  <c r="H218" i="41" s="1"/>
  <c r="G221" i="41"/>
  <c r="H221" i="41" s="1"/>
  <c r="G224" i="41"/>
  <c r="H224" i="41" s="1"/>
  <c r="G227" i="41"/>
  <c r="H227" i="41" s="1"/>
  <c r="G230" i="41"/>
  <c r="H230" i="41" s="1"/>
  <c r="G233" i="41"/>
  <c r="H233" i="41" s="1"/>
  <c r="G236" i="41"/>
  <c r="H236" i="41" s="1"/>
  <c r="G239" i="41"/>
  <c r="H239" i="41" s="1"/>
  <c r="G242" i="41"/>
  <c r="H242" i="41" s="1"/>
  <c r="G245" i="41"/>
  <c r="H245" i="41" s="1"/>
  <c r="G248" i="41"/>
  <c r="H248" i="41" s="1"/>
  <c r="G251" i="41"/>
  <c r="H251" i="41" s="1"/>
  <c r="G254" i="41"/>
  <c r="H254" i="41" s="1"/>
  <c r="G257" i="41"/>
  <c r="H257" i="41" s="1"/>
  <c r="G260" i="41"/>
  <c r="H260" i="41" s="1"/>
  <c r="G263" i="41"/>
  <c r="H263" i="41" s="1"/>
  <c r="G266" i="41"/>
  <c r="H266" i="41" s="1"/>
  <c r="G269" i="41"/>
  <c r="H269" i="41" s="1"/>
  <c r="G272" i="41"/>
  <c r="H272" i="41" s="1"/>
  <c r="G275" i="41"/>
  <c r="H275" i="41" s="1"/>
  <c r="G278" i="41"/>
  <c r="H278" i="41" s="1"/>
  <c r="G281" i="41"/>
  <c r="H281" i="41" s="1"/>
  <c r="G284" i="41"/>
  <c r="H284" i="41" s="1"/>
  <c r="G287" i="41"/>
  <c r="H287" i="41" s="1"/>
  <c r="G290" i="41"/>
  <c r="H290" i="41" s="1"/>
  <c r="G293" i="41"/>
  <c r="H293" i="41" s="1"/>
  <c r="G296" i="41"/>
  <c r="H296" i="41" s="1"/>
  <c r="G299" i="41"/>
  <c r="H299" i="41" s="1"/>
  <c r="G302" i="41"/>
  <c r="H302" i="41" s="1"/>
  <c r="G305" i="41"/>
  <c r="H305" i="41" s="1"/>
  <c r="G308" i="41"/>
  <c r="H308" i="41" s="1"/>
  <c r="G311" i="41"/>
  <c r="H311" i="41" s="1"/>
  <c r="G314" i="41"/>
  <c r="H314" i="41" s="1"/>
  <c r="G317" i="41"/>
  <c r="H317" i="41" s="1"/>
  <c r="G320" i="41"/>
  <c r="H320" i="41" s="1"/>
  <c r="G323" i="41"/>
  <c r="H323" i="41" s="1"/>
  <c r="G326" i="41"/>
  <c r="H326" i="41" s="1"/>
  <c r="G329" i="41"/>
  <c r="H329" i="41" s="1"/>
  <c r="G332" i="41"/>
  <c r="H332" i="41" s="1"/>
  <c r="G335" i="41"/>
  <c r="H335" i="41" s="1"/>
  <c r="G338" i="41"/>
  <c r="H338" i="41" s="1"/>
  <c r="G341" i="41"/>
  <c r="H341" i="41" s="1"/>
  <c r="G344" i="41"/>
  <c r="H344" i="41" s="1"/>
  <c r="G347" i="41"/>
  <c r="H347" i="41" s="1"/>
  <c r="G350" i="41"/>
  <c r="H350" i="41" s="1"/>
  <c r="G353" i="41"/>
  <c r="H353" i="41" s="1"/>
  <c r="G356" i="41"/>
  <c r="H356" i="41" s="1"/>
  <c r="G359" i="41"/>
  <c r="H359" i="41" s="1"/>
  <c r="G362" i="41"/>
  <c r="H362" i="41" s="1"/>
  <c r="G365" i="41"/>
  <c r="H365" i="41" s="1"/>
  <c r="G368" i="41"/>
  <c r="H368" i="41" s="1"/>
  <c r="G371" i="41"/>
  <c r="H371" i="41" s="1"/>
  <c r="G374" i="41"/>
  <c r="H374" i="41" s="1"/>
  <c r="G377" i="41"/>
  <c r="H377" i="41" s="1"/>
  <c r="G380" i="41"/>
  <c r="H380" i="41" s="1"/>
  <c r="G383" i="41"/>
  <c r="H383" i="41" s="1"/>
  <c r="G386" i="41"/>
  <c r="H386" i="41" s="1"/>
  <c r="G389" i="41"/>
  <c r="H389" i="41" s="1"/>
  <c r="G392" i="41"/>
  <c r="H392" i="41" s="1"/>
  <c r="G395" i="41"/>
  <c r="H395" i="41" s="1"/>
  <c r="G398" i="41"/>
  <c r="H398" i="41" s="1"/>
  <c r="G401" i="41"/>
  <c r="H401" i="41" s="1"/>
  <c r="G404" i="41"/>
  <c r="H404" i="41" s="1"/>
  <c r="G407" i="41"/>
  <c r="H407" i="41" s="1"/>
  <c r="G410" i="41"/>
  <c r="H410" i="41" s="1"/>
  <c r="G413" i="41"/>
  <c r="H413" i="41" s="1"/>
  <c r="G416" i="41"/>
  <c r="H416" i="41" s="1"/>
  <c r="G419" i="41"/>
  <c r="H419" i="41" s="1"/>
  <c r="G422" i="41"/>
  <c r="H422" i="41" s="1"/>
  <c r="G425" i="41"/>
  <c r="H425" i="41" s="1"/>
  <c r="G428" i="41"/>
  <c r="H428" i="41" s="1"/>
  <c r="G431" i="41"/>
  <c r="H431" i="41" s="1"/>
  <c r="G434" i="41"/>
  <c r="H434" i="41" s="1"/>
  <c r="G437" i="41"/>
  <c r="H437" i="41" s="1"/>
  <c r="G440" i="41"/>
  <c r="H440" i="41" s="1"/>
  <c r="G446" i="41"/>
  <c r="H446" i="41" s="1"/>
  <c r="G449" i="41"/>
  <c r="H449" i="41" s="1"/>
  <c r="G452" i="41"/>
  <c r="H452" i="41" s="1"/>
  <c r="G455" i="41"/>
  <c r="H455" i="41" s="1"/>
  <c r="G458" i="41"/>
  <c r="H458" i="41" s="1"/>
  <c r="G461" i="41"/>
  <c r="H461" i="41" s="1"/>
  <c r="G464" i="41"/>
  <c r="H464" i="41" s="1"/>
  <c r="G467" i="41"/>
  <c r="H467" i="41" s="1"/>
  <c r="G470" i="41"/>
  <c r="H470" i="41" s="1"/>
  <c r="G473" i="41"/>
  <c r="H473" i="41" s="1"/>
  <c r="G476" i="41"/>
  <c r="H476" i="41" s="1"/>
  <c r="G479" i="41"/>
  <c r="H479" i="41" s="1"/>
  <c r="G482" i="41"/>
  <c r="H482" i="41" s="1"/>
  <c r="G485" i="41"/>
  <c r="H485" i="41" s="1"/>
  <c r="G488" i="41"/>
  <c r="H488" i="41" s="1"/>
  <c r="G491" i="41"/>
  <c r="H491" i="41" s="1"/>
  <c r="G494" i="41"/>
  <c r="H494" i="41" s="1"/>
  <c r="G497" i="41"/>
  <c r="H497" i="41" s="1"/>
  <c r="G500" i="41"/>
  <c r="H500" i="41" s="1"/>
  <c r="G503" i="41"/>
  <c r="H503" i="41" s="1"/>
  <c r="G506" i="41"/>
  <c r="H506" i="41" s="1"/>
  <c r="G509" i="41"/>
  <c r="H509" i="41" s="1"/>
  <c r="G512" i="41"/>
  <c r="H512" i="41" s="1"/>
  <c r="G515" i="41"/>
  <c r="H515" i="41" s="1"/>
  <c r="G518" i="41"/>
  <c r="H518" i="41" s="1"/>
  <c r="G521" i="41"/>
  <c r="H521" i="41" s="1"/>
  <c r="G524" i="41"/>
  <c r="H524" i="41" s="1"/>
  <c r="G527" i="41"/>
  <c r="H527" i="41" s="1"/>
  <c r="G530" i="41"/>
  <c r="H530" i="41" s="1"/>
  <c r="G533" i="41"/>
  <c r="H533" i="41" s="1"/>
  <c r="G536" i="41"/>
  <c r="H536" i="41" s="1"/>
  <c r="G539" i="41"/>
  <c r="H539" i="41" s="1"/>
  <c r="G542" i="41"/>
  <c r="H542" i="41" s="1"/>
  <c r="G545" i="41"/>
  <c r="H545" i="41" s="1"/>
  <c r="G548" i="41"/>
  <c r="H548" i="41" s="1"/>
  <c r="G551" i="41"/>
  <c r="H551" i="41" s="1"/>
  <c r="G554" i="41"/>
  <c r="H554" i="41" s="1"/>
  <c r="G557" i="41"/>
  <c r="H557" i="41" s="1"/>
  <c r="G560" i="41"/>
  <c r="H560" i="41" s="1"/>
  <c r="G563" i="41"/>
  <c r="H563" i="41" s="1"/>
  <c r="G566" i="41"/>
  <c r="H566" i="41" s="1"/>
  <c r="G569" i="41"/>
  <c r="H569" i="41" s="1"/>
  <c r="G572" i="41"/>
  <c r="H572" i="41" s="1"/>
  <c r="G575" i="41"/>
  <c r="H575" i="41" s="1"/>
  <c r="G578" i="41"/>
  <c r="H578" i="41" s="1"/>
  <c r="G581" i="41"/>
  <c r="H581" i="41" s="1"/>
  <c r="G584" i="41"/>
  <c r="H584" i="41" s="1"/>
  <c r="G587" i="41"/>
  <c r="H587" i="41" s="1"/>
  <c r="G590" i="41"/>
  <c r="H590" i="41" s="1"/>
  <c r="G593" i="41"/>
  <c r="H593" i="41" s="1"/>
  <c r="G599" i="41"/>
  <c r="H599" i="41" s="1"/>
  <c r="G602" i="41"/>
  <c r="H602" i="41" s="1"/>
  <c r="G605" i="41"/>
  <c r="H605" i="41" s="1"/>
  <c r="G608" i="41"/>
  <c r="H608" i="41" s="1"/>
  <c r="G611" i="41"/>
  <c r="H611" i="41" s="1"/>
  <c r="G614" i="41"/>
  <c r="H614" i="41" s="1"/>
  <c r="G617" i="41"/>
  <c r="H617" i="41" s="1"/>
  <c r="G620" i="41"/>
  <c r="H620" i="41" s="1"/>
  <c r="G623" i="41"/>
  <c r="H623" i="41" s="1"/>
  <c r="G626" i="41"/>
  <c r="H626" i="41" s="1"/>
  <c r="G629" i="41"/>
  <c r="H629" i="41" s="1"/>
  <c r="G632" i="41"/>
  <c r="H632" i="41" s="1"/>
  <c r="G635" i="41"/>
  <c r="H635" i="41" s="1"/>
  <c r="E647" i="39" l="1"/>
  <c r="G28" i="40"/>
  <c r="G69" i="40"/>
  <c r="G73" i="40"/>
  <c r="G75" i="40"/>
  <c r="G77" i="40"/>
  <c r="G86" i="40"/>
  <c r="G89" i="40"/>
  <c r="G92" i="40"/>
  <c r="G95" i="40"/>
  <c r="G98" i="40"/>
  <c r="G101" i="40"/>
  <c r="G104" i="40"/>
  <c r="G107" i="40"/>
  <c r="G110" i="40"/>
  <c r="G113" i="40"/>
  <c r="G116" i="40"/>
  <c r="G119" i="40"/>
  <c r="G122" i="40"/>
  <c r="G125" i="40"/>
  <c r="G128" i="40"/>
  <c r="G131" i="40"/>
  <c r="G134" i="40"/>
  <c r="G137" i="40"/>
  <c r="G140" i="40"/>
  <c r="G143" i="40"/>
  <c r="G146" i="40"/>
  <c r="G149" i="40"/>
  <c r="G152" i="40"/>
  <c r="G153" i="40"/>
  <c r="G154" i="40"/>
  <c r="G155" i="40"/>
  <c r="G158" i="40"/>
  <c r="G161" i="40"/>
  <c r="G167" i="40"/>
  <c r="G170" i="40"/>
  <c r="G173" i="40"/>
  <c r="G176" i="40"/>
  <c r="G179" i="40"/>
  <c r="G182" i="40"/>
  <c r="G185" i="40"/>
  <c r="G188" i="40"/>
  <c r="G189" i="40"/>
  <c r="G190" i="40"/>
  <c r="G191" i="40"/>
  <c r="G194" i="40"/>
  <c r="G197" i="40"/>
  <c r="G200" i="40"/>
  <c r="G203" i="40"/>
  <c r="G206" i="40"/>
  <c r="G209" i="40"/>
  <c r="G212" i="40"/>
  <c r="G215" i="40"/>
  <c r="G218" i="40"/>
  <c r="G221" i="40"/>
  <c r="G224" i="40"/>
  <c r="G227" i="40"/>
  <c r="G230" i="40"/>
  <c r="G233" i="40"/>
  <c r="G236" i="40"/>
  <c r="G239" i="40"/>
  <c r="G242" i="40"/>
  <c r="G245" i="40"/>
  <c r="G248" i="40"/>
  <c r="G251" i="40"/>
  <c r="G254" i="40"/>
  <c r="G257" i="40"/>
  <c r="G260" i="40"/>
  <c r="G263" i="40"/>
  <c r="G266" i="40"/>
  <c r="G269" i="40"/>
  <c r="G272" i="40"/>
  <c r="G275" i="40"/>
  <c r="G278" i="40"/>
  <c r="G281" i="40"/>
  <c r="G284" i="40"/>
  <c r="G287" i="40"/>
  <c r="G290" i="40"/>
  <c r="G293" i="40"/>
  <c r="G296" i="40"/>
  <c r="G299" i="40"/>
  <c r="G302" i="40"/>
  <c r="G305" i="40"/>
  <c r="G308" i="40"/>
  <c r="G309" i="40"/>
  <c r="G310" i="40"/>
  <c r="G311" i="40"/>
  <c r="G314" i="40"/>
  <c r="G317" i="40"/>
  <c r="G320" i="40"/>
  <c r="G323" i="40"/>
  <c r="G326" i="40"/>
  <c r="G329" i="40"/>
  <c r="G332" i="40"/>
  <c r="G335" i="40"/>
  <c r="G338" i="40"/>
  <c r="G341" i="40"/>
  <c r="G344" i="40"/>
  <c r="G347" i="40"/>
  <c r="G350" i="40"/>
  <c r="G356" i="40"/>
  <c r="G359" i="40"/>
  <c r="G362" i="40"/>
  <c r="G365" i="40"/>
  <c r="G368" i="40"/>
  <c r="G369" i="40"/>
  <c r="G370" i="40"/>
  <c r="G371" i="40"/>
  <c r="G374" i="40"/>
  <c r="G377" i="40"/>
  <c r="G378" i="40"/>
  <c r="G379" i="40"/>
  <c r="G380" i="40"/>
  <c r="G383" i="40"/>
  <c r="G384" i="40"/>
  <c r="G385" i="40"/>
  <c r="G386" i="40"/>
  <c r="G389" i="40"/>
  <c r="G390" i="40"/>
  <c r="G391" i="40"/>
  <c r="G392" i="40"/>
  <c r="G395" i="40"/>
  <c r="G398" i="40"/>
  <c r="G399" i="40"/>
  <c r="G400" i="40"/>
  <c r="G401" i="40"/>
  <c r="G402" i="40"/>
  <c r="G403" i="40"/>
  <c r="G404" i="40"/>
  <c r="G407" i="40"/>
  <c r="G410" i="40"/>
  <c r="G413" i="40"/>
  <c r="G416" i="40"/>
  <c r="G419" i="40"/>
  <c r="G422" i="40"/>
  <c r="G425" i="40"/>
  <c r="G428" i="40"/>
  <c r="G431" i="40"/>
  <c r="G434" i="40"/>
  <c r="G435" i="40"/>
  <c r="G436" i="40"/>
  <c r="G437" i="40"/>
  <c r="G440" i="40"/>
  <c r="G446" i="40"/>
  <c r="G449" i="40"/>
  <c r="G452" i="40"/>
  <c r="G455" i="40"/>
  <c r="G458" i="40"/>
  <c r="G461" i="40"/>
  <c r="G464" i="40"/>
  <c r="G467" i="40"/>
  <c r="G470" i="40"/>
  <c r="G473" i="40"/>
  <c r="G476" i="40"/>
  <c r="G479" i="40"/>
  <c r="G482" i="40"/>
  <c r="G485" i="40"/>
  <c r="G488" i="40"/>
  <c r="G491" i="40"/>
  <c r="G494" i="40"/>
  <c r="G497" i="40"/>
  <c r="G500" i="40"/>
  <c r="G503" i="40"/>
  <c r="G506" i="40"/>
  <c r="G509" i="40"/>
  <c r="G512" i="40"/>
  <c r="G515" i="40"/>
  <c r="G518" i="40"/>
  <c r="G521" i="40"/>
  <c r="G524" i="40"/>
  <c r="G527" i="40"/>
  <c r="G530" i="40"/>
  <c r="G533" i="40"/>
  <c r="G536" i="40"/>
  <c r="G539" i="40"/>
  <c r="G542" i="40"/>
  <c r="G545" i="40"/>
  <c r="G548" i="40"/>
  <c r="G551" i="40"/>
  <c r="G554" i="40"/>
  <c r="G557" i="40"/>
  <c r="G558" i="40"/>
  <c r="G559" i="40"/>
  <c r="G560" i="40"/>
  <c r="G563" i="40"/>
  <c r="G566" i="40"/>
  <c r="G569" i="40"/>
  <c r="G572" i="40"/>
  <c r="G575" i="40"/>
  <c r="G578" i="40"/>
  <c r="G581" i="40"/>
  <c r="G582" i="40"/>
  <c r="G583" i="40"/>
  <c r="G584" i="40"/>
  <c r="G587" i="40"/>
  <c r="G590" i="40"/>
  <c r="G593" i="40"/>
  <c r="G599" i="40"/>
  <c r="G602" i="40"/>
  <c r="G605" i="40"/>
  <c r="G608" i="40"/>
  <c r="G611" i="40"/>
  <c r="G614" i="40"/>
  <c r="G617" i="40"/>
  <c r="G620" i="40"/>
  <c r="G623" i="40"/>
  <c r="G626" i="40"/>
  <c r="G629" i="40"/>
  <c r="G632" i="40"/>
  <c r="E349" i="40"/>
  <c r="F349" i="40" s="1"/>
  <c r="E348" i="40"/>
  <c r="F348" i="40" s="1"/>
  <c r="E343" i="40"/>
  <c r="F343" i="40" s="1"/>
  <c r="E342" i="40"/>
  <c r="F342" i="40" s="1"/>
  <c r="E51" i="41"/>
  <c r="D50" i="41"/>
  <c r="E51" i="40"/>
  <c r="E50" i="40" s="1"/>
  <c r="D50" i="39"/>
  <c r="E538" i="41"/>
  <c r="G538" i="41" s="1"/>
  <c r="H538" i="41" s="1"/>
  <c r="E537" i="41"/>
  <c r="G537" i="41" s="1"/>
  <c r="H537" i="41" s="1"/>
  <c r="E535" i="41"/>
  <c r="G535" i="41" s="1"/>
  <c r="H535" i="41" s="1"/>
  <c r="E534" i="41"/>
  <c r="G534" i="41" s="1"/>
  <c r="H534" i="41" s="1"/>
  <c r="E538" i="40"/>
  <c r="F538" i="40" s="1"/>
  <c r="G538" i="40" s="1"/>
  <c r="E537" i="40"/>
  <c r="F537" i="40" s="1"/>
  <c r="G537" i="40" s="1"/>
  <c r="E535" i="40"/>
  <c r="F535" i="40" s="1"/>
  <c r="G535" i="40" s="1"/>
  <c r="E534" i="40"/>
  <c r="D532" i="41"/>
  <c r="D531" i="41"/>
  <c r="D532" i="39"/>
  <c r="D531" i="39"/>
  <c r="E355" i="41"/>
  <c r="E354" i="41"/>
  <c r="D352" i="41"/>
  <c r="D351" i="41"/>
  <c r="D351" i="39"/>
  <c r="E354" i="40"/>
  <c r="F354" i="40" s="1"/>
  <c r="E355" i="40"/>
  <c r="E352" i="40" s="1"/>
  <c r="G343" i="40" l="1"/>
  <c r="I343" i="40"/>
  <c r="G348" i="40"/>
  <c r="I348" i="40"/>
  <c r="G342" i="40"/>
  <c r="I342" i="40"/>
  <c r="F351" i="40"/>
  <c r="G351" i="40" s="1"/>
  <c r="I354" i="40"/>
  <c r="I351" i="40" s="1"/>
  <c r="G349" i="40"/>
  <c r="I349" i="40"/>
  <c r="E50" i="41"/>
  <c r="G50" i="41" s="1"/>
  <c r="H50" i="41" s="1"/>
  <c r="G51" i="41"/>
  <c r="H51" i="41" s="1"/>
  <c r="E351" i="41"/>
  <c r="G351" i="41" s="1"/>
  <c r="H351" i="41" s="1"/>
  <c r="G354" i="41"/>
  <c r="H354" i="41" s="1"/>
  <c r="E352" i="41"/>
  <c r="G352" i="41" s="1"/>
  <c r="H352" i="41" s="1"/>
  <c r="G355" i="41"/>
  <c r="H355" i="41" s="1"/>
  <c r="G354" i="40"/>
  <c r="F51" i="40"/>
  <c r="I51" i="40" s="1"/>
  <c r="I50" i="40" s="1"/>
  <c r="E531" i="40"/>
  <c r="E532" i="41"/>
  <c r="G532" i="41" s="1"/>
  <c r="H532" i="41" s="1"/>
  <c r="E531" i="41"/>
  <c r="G531" i="41" s="1"/>
  <c r="H531" i="41" s="1"/>
  <c r="F532" i="40"/>
  <c r="G532" i="40" s="1"/>
  <c r="F534" i="40"/>
  <c r="E532" i="40"/>
  <c r="E351" i="40"/>
  <c r="F355" i="40"/>
  <c r="I355" i="40" s="1"/>
  <c r="I352" i="40" s="1"/>
  <c r="F353" i="40"/>
  <c r="G353" i="40" s="1"/>
  <c r="F352" i="40" l="1"/>
  <c r="G352" i="40" s="1"/>
  <c r="G355" i="40"/>
  <c r="F531" i="40"/>
  <c r="G531" i="40" s="1"/>
  <c r="G534" i="40"/>
  <c r="F50" i="40"/>
  <c r="G50" i="40" s="1"/>
  <c r="G51" i="40"/>
  <c r="D352" i="39"/>
  <c r="E526" i="41"/>
  <c r="G526" i="41" s="1"/>
  <c r="H526" i="41" s="1"/>
  <c r="E525" i="41"/>
  <c r="G525" i="41" s="1"/>
  <c r="H525" i="41" s="1"/>
  <c r="E523" i="41"/>
  <c r="G523" i="41" s="1"/>
  <c r="H523" i="41" s="1"/>
  <c r="E522" i="41"/>
  <c r="G522" i="41" s="1"/>
  <c r="H522" i="41" s="1"/>
  <c r="E520" i="41"/>
  <c r="G520" i="41" s="1"/>
  <c r="H520" i="41" s="1"/>
  <c r="E519" i="41"/>
  <c r="G519" i="41" s="1"/>
  <c r="H519" i="41" s="1"/>
  <c r="E514" i="41"/>
  <c r="G514" i="41" s="1"/>
  <c r="H514" i="41" s="1"/>
  <c r="E513" i="41"/>
  <c r="G513" i="41" s="1"/>
  <c r="H513" i="41" s="1"/>
  <c r="E511" i="41"/>
  <c r="G511" i="41" s="1"/>
  <c r="H511" i="41" s="1"/>
  <c r="E510" i="41"/>
  <c r="G510" i="41" s="1"/>
  <c r="H510" i="41" s="1"/>
  <c r="E508" i="41"/>
  <c r="G508" i="41" s="1"/>
  <c r="H508" i="41" s="1"/>
  <c r="E507" i="41"/>
  <c r="G507" i="41" s="1"/>
  <c r="H507" i="41" s="1"/>
  <c r="E526" i="40"/>
  <c r="F526" i="40" s="1"/>
  <c r="G526" i="40" s="1"/>
  <c r="E525" i="40"/>
  <c r="F525" i="40" s="1"/>
  <c r="G525" i="40" s="1"/>
  <c r="E523" i="40"/>
  <c r="F523" i="40" s="1"/>
  <c r="G523" i="40" s="1"/>
  <c r="E522" i="40"/>
  <c r="F522" i="40" s="1"/>
  <c r="G522" i="40" s="1"/>
  <c r="E520" i="40"/>
  <c r="F520" i="40" s="1"/>
  <c r="G520" i="40" s="1"/>
  <c r="E519" i="40"/>
  <c r="F519" i="40" s="1"/>
  <c r="G519" i="40" s="1"/>
  <c r="E514" i="40"/>
  <c r="F514" i="40" s="1"/>
  <c r="E513" i="40"/>
  <c r="F513" i="40" s="1"/>
  <c r="E511" i="40"/>
  <c r="F511" i="40" s="1"/>
  <c r="E510" i="40"/>
  <c r="F510" i="40" s="1"/>
  <c r="E508" i="40"/>
  <c r="F508" i="40" s="1"/>
  <c r="E507" i="40"/>
  <c r="D517" i="41"/>
  <c r="D516" i="41"/>
  <c r="D505" i="41"/>
  <c r="D504" i="41"/>
  <c r="D516" i="39"/>
  <c r="D517" i="39"/>
  <c r="D505" i="39"/>
  <c r="D504" i="39"/>
  <c r="G510" i="40" l="1"/>
  <c r="I510" i="40"/>
  <c r="G511" i="40"/>
  <c r="I511" i="40"/>
  <c r="G513" i="40"/>
  <c r="I513" i="40"/>
  <c r="G514" i="40"/>
  <c r="I514" i="40"/>
  <c r="G508" i="40"/>
  <c r="I508" i="40"/>
  <c r="D501" i="41"/>
  <c r="D502" i="41"/>
  <c r="E516" i="41"/>
  <c r="G516" i="41" s="1"/>
  <c r="H516" i="41" s="1"/>
  <c r="E505" i="41"/>
  <c r="G505" i="41" s="1"/>
  <c r="H505" i="41" s="1"/>
  <c r="E517" i="41"/>
  <c r="G517" i="41" s="1"/>
  <c r="H517" i="41" s="1"/>
  <c r="E504" i="41"/>
  <c r="G504" i="41" s="1"/>
  <c r="H504" i="41" s="1"/>
  <c r="F516" i="40"/>
  <c r="G516" i="40" s="1"/>
  <c r="F517" i="40"/>
  <c r="G517" i="40" s="1"/>
  <c r="E516" i="40"/>
  <c r="E517" i="40"/>
  <c r="F505" i="40"/>
  <c r="G505" i="40" s="1"/>
  <c r="E504" i="40"/>
  <c r="E505" i="40"/>
  <c r="F507" i="40"/>
  <c r="I507" i="40" s="1"/>
  <c r="D501" i="39"/>
  <c r="D502" i="39"/>
  <c r="I504" i="40" l="1"/>
  <c r="I501" i="40" s="1"/>
  <c r="I505" i="40"/>
  <c r="I502" i="40" s="1"/>
  <c r="E502" i="41"/>
  <c r="G502" i="41" s="1"/>
  <c r="H502" i="41" s="1"/>
  <c r="F504" i="40"/>
  <c r="G504" i="40" s="1"/>
  <c r="G507" i="40"/>
  <c r="E501" i="41"/>
  <c r="G501" i="41" s="1"/>
  <c r="H501" i="41" s="1"/>
  <c r="E502" i="40"/>
  <c r="F502" i="40"/>
  <c r="G502" i="40" s="1"/>
  <c r="E501" i="40"/>
  <c r="E67" i="40"/>
  <c r="F67" i="40" s="1"/>
  <c r="G67" i="40" s="1"/>
  <c r="F501" i="40" l="1"/>
  <c r="G501" i="40" s="1"/>
  <c r="D631" i="39"/>
  <c r="D628" i="39" s="1"/>
  <c r="D630" i="39"/>
  <c r="D627" i="39" s="1"/>
  <c r="D622" i="39"/>
  <c r="D619" i="39" s="1"/>
  <c r="D621" i="39"/>
  <c r="D618" i="39" s="1"/>
  <c r="D604" i="39"/>
  <c r="D603" i="39"/>
  <c r="D592" i="39"/>
  <c r="D591" i="39"/>
  <c r="D577" i="39"/>
  <c r="D576" i="39"/>
  <c r="D565" i="39"/>
  <c r="D115" i="39" s="1"/>
  <c r="D564" i="39"/>
  <c r="D114" i="39" s="1"/>
  <c r="D553" i="39"/>
  <c r="D112" i="39" s="1"/>
  <c r="D552" i="39"/>
  <c r="D111" i="39" s="1"/>
  <c r="D496" i="39"/>
  <c r="D493" i="39" s="1"/>
  <c r="D495" i="39"/>
  <c r="D492" i="39" s="1"/>
  <c r="D478" i="39"/>
  <c r="D475" i="39" s="1"/>
  <c r="D477" i="39"/>
  <c r="D474" i="39" s="1"/>
  <c r="D109" i="39"/>
  <c r="D108" i="39"/>
  <c r="D418" i="39"/>
  <c r="D417" i="39"/>
  <c r="D406" i="39"/>
  <c r="D405" i="39"/>
  <c r="D397" i="39"/>
  <c r="D396" i="39"/>
  <c r="D388" i="39"/>
  <c r="D387" i="39"/>
  <c r="D376" i="39"/>
  <c r="D375" i="39"/>
  <c r="D367" i="39"/>
  <c r="D364" i="39" s="1"/>
  <c r="D103" i="39" s="1"/>
  <c r="D366" i="39"/>
  <c r="D363" i="39" s="1"/>
  <c r="D102" i="39" s="1"/>
  <c r="D358" i="39"/>
  <c r="D357" i="39"/>
  <c r="D340" i="39"/>
  <c r="D339" i="39"/>
  <c r="D241" i="39"/>
  <c r="D240" i="39"/>
  <c r="D82" i="39"/>
  <c r="D80" i="39"/>
  <c r="D78" i="39"/>
  <c r="D74" i="39"/>
  <c r="D70" i="39"/>
  <c r="D66" i="39"/>
  <c r="D64" i="39"/>
  <c r="D63" i="39" s="1"/>
  <c r="D62" i="39" s="1"/>
  <c r="D55" i="39"/>
  <c r="D53" i="39"/>
  <c r="D52" i="39" s="1"/>
  <c r="D46" i="39"/>
  <c r="D41" i="39"/>
  <c r="D29" i="39"/>
  <c r="D27" i="39" s="1"/>
  <c r="D25" i="39"/>
  <c r="D23" i="39"/>
  <c r="D21" i="39"/>
  <c r="D19" i="39"/>
  <c r="D18" i="39" s="1"/>
  <c r="E646" i="39"/>
  <c r="E648" i="39" s="1"/>
  <c r="D17" i="39" l="1"/>
  <c r="D16" i="39" s="1"/>
  <c r="D337" i="39"/>
  <c r="D100" i="39" s="1"/>
  <c r="D336" i="39"/>
  <c r="D99" i="39" s="1"/>
  <c r="D39" i="39"/>
  <c r="D36" i="39" s="1"/>
  <c r="D35" i="39" s="1"/>
  <c r="D616" i="39"/>
  <c r="D613" i="39" s="1"/>
  <c r="D610" i="39" s="1"/>
  <c r="D274" i="39"/>
  <c r="D615" i="39"/>
  <c r="D612" i="39" s="1"/>
  <c r="D609" i="39" s="1"/>
  <c r="D247" i="39"/>
  <c r="D174" i="39"/>
  <c r="D426" i="39"/>
  <c r="D372" i="39" s="1"/>
  <c r="D273" i="39"/>
  <c r="D573" i="39"/>
  <c r="D570" i="39" s="1"/>
  <c r="D262" i="39"/>
  <c r="D574" i="39"/>
  <c r="D571" i="39" s="1"/>
  <c r="D246" i="39"/>
  <c r="D316" i="39"/>
  <c r="D136" i="39"/>
  <c r="D204" i="39"/>
  <c r="D315" i="39"/>
  <c r="D457" i="39"/>
  <c r="D454" i="39" s="1"/>
  <c r="D451" i="39" s="1"/>
  <c r="D588" i="39"/>
  <c r="D205" i="39"/>
  <c r="D427" i="39"/>
  <c r="D373" i="39" s="1"/>
  <c r="D589" i="39"/>
  <c r="D175" i="39"/>
  <c r="D261" i="39"/>
  <c r="D65" i="39"/>
  <c r="D541" i="39"/>
  <c r="D540" i="39"/>
  <c r="D528" i="39" s="1"/>
  <c r="D135" i="39"/>
  <c r="D456" i="39"/>
  <c r="D453" i="39" s="1"/>
  <c r="D450" i="39" s="1"/>
  <c r="D529" i="39" l="1"/>
  <c r="D490" i="39" s="1"/>
  <c r="D487" i="39" s="1"/>
  <c r="D484" i="39" s="1"/>
  <c r="D117" i="39"/>
  <c r="D201" i="39"/>
  <c r="D96" i="39" s="1"/>
  <c r="D202" i="39"/>
  <c r="D97" i="39" s="1"/>
  <c r="D118" i="39"/>
  <c r="D132" i="39"/>
  <c r="D133" i="39"/>
  <c r="D34" i="39"/>
  <c r="D15" i="39" s="1"/>
  <c r="E85" i="40"/>
  <c r="F85" i="40" s="1"/>
  <c r="G85" i="40" s="1"/>
  <c r="G35" i="39" l="1"/>
  <c r="G484" i="39"/>
  <c r="I484" i="39" s="1"/>
  <c r="D489" i="39"/>
  <c r="D486" i="39" s="1"/>
  <c r="D483" i="39" s="1"/>
  <c r="G483" i="39" s="1"/>
  <c r="I483" i="39" s="1"/>
  <c r="D129" i="39"/>
  <c r="D126" i="39" s="1"/>
  <c r="D123" i="39" s="1"/>
  <c r="D105" i="39"/>
  <c r="D93" i="39"/>
  <c r="D130" i="39"/>
  <c r="D127" i="39" s="1"/>
  <c r="D124" i="39" s="1"/>
  <c r="D121" i="39" s="1"/>
  <c r="D106" i="39"/>
  <c r="D94" i="39"/>
  <c r="E64" i="41"/>
  <c r="D63" i="41"/>
  <c r="D62" i="41" s="1"/>
  <c r="E64" i="40"/>
  <c r="F64" i="40" s="1"/>
  <c r="G64" i="40" l="1"/>
  <c r="I64" i="40"/>
  <c r="I63" i="40" s="1"/>
  <c r="I62" i="40" s="1"/>
  <c r="E63" i="41"/>
  <c r="G64" i="41"/>
  <c r="H64" i="41" s="1"/>
  <c r="D90" i="39"/>
  <c r="D87" i="39" s="1"/>
  <c r="D120" i="39"/>
  <c r="D91" i="39"/>
  <c r="D88" i="39" s="1"/>
  <c r="D635" i="39" s="1"/>
  <c r="E63" i="40"/>
  <c r="E62" i="40" s="1"/>
  <c r="F63" i="40"/>
  <c r="G63" i="40" s="1"/>
  <c r="E62" i="41" l="1"/>
  <c r="G62" i="41" s="1"/>
  <c r="H62" i="41" s="1"/>
  <c r="G63" i="41"/>
  <c r="H63" i="41" s="1"/>
  <c r="F62" i="40"/>
  <c r="G62" i="40" s="1"/>
  <c r="E361" i="40"/>
  <c r="F361" i="40" s="1"/>
  <c r="E360" i="40"/>
  <c r="F360" i="40" s="1"/>
  <c r="E244" i="40"/>
  <c r="F244" i="40" s="1"/>
  <c r="E243" i="40"/>
  <c r="F243" i="40" s="1"/>
  <c r="G244" i="40" l="1"/>
  <c r="I244" i="40"/>
  <c r="I241" i="40" s="1"/>
  <c r="G243" i="40"/>
  <c r="I243" i="40"/>
  <c r="I240" i="40" s="1"/>
  <c r="G361" i="40"/>
  <c r="I361" i="40"/>
  <c r="I358" i="40" s="1"/>
  <c r="G360" i="40"/>
  <c r="I360" i="40"/>
  <c r="I357" i="40" s="1"/>
  <c r="E361" i="41"/>
  <c r="E360" i="41"/>
  <c r="E481" i="40"/>
  <c r="F481" i="40" s="1"/>
  <c r="G481" i="40" s="1"/>
  <c r="E480" i="40"/>
  <c r="F480" i="40" s="1"/>
  <c r="G480" i="40" s="1"/>
  <c r="E481" i="41"/>
  <c r="E480" i="41"/>
  <c r="D478" i="41"/>
  <c r="D475" i="41" s="1"/>
  <c r="D477" i="41"/>
  <c r="D474" i="41" s="1"/>
  <c r="D358" i="41"/>
  <c r="D357" i="41"/>
  <c r="E357" i="40"/>
  <c r="F357" i="40"/>
  <c r="G357" i="40" s="1"/>
  <c r="E358" i="40"/>
  <c r="F358" i="40"/>
  <c r="G358" i="40" s="1"/>
  <c r="D55" i="41"/>
  <c r="E57" i="41"/>
  <c r="G57" i="41" s="1"/>
  <c r="H57" i="41" s="1"/>
  <c r="E57" i="40"/>
  <c r="F57" i="40" s="1"/>
  <c r="E81" i="41"/>
  <c r="G81" i="41" s="1"/>
  <c r="H81" i="41" s="1"/>
  <c r="D80" i="41"/>
  <c r="E81" i="40"/>
  <c r="F81" i="40" s="1"/>
  <c r="G81" i="40" s="1"/>
  <c r="E45" i="40"/>
  <c r="F45" i="40" s="1"/>
  <c r="D604" i="41"/>
  <c r="G45" i="40" l="1"/>
  <c r="I45" i="40"/>
  <c r="G57" i="40"/>
  <c r="I57" i="40"/>
  <c r="E478" i="41"/>
  <c r="G478" i="41" s="1"/>
  <c r="H478" i="41" s="1"/>
  <c r="G481" i="41"/>
  <c r="H481" i="41" s="1"/>
  <c r="E477" i="41"/>
  <c r="G477" i="41" s="1"/>
  <c r="H477" i="41" s="1"/>
  <c r="G480" i="41"/>
  <c r="H480" i="41" s="1"/>
  <c r="E357" i="41"/>
  <c r="G357" i="41" s="1"/>
  <c r="H357" i="41" s="1"/>
  <c r="G360" i="41"/>
  <c r="H360" i="41" s="1"/>
  <c r="E358" i="41"/>
  <c r="G358" i="41" s="1"/>
  <c r="H358" i="41" s="1"/>
  <c r="G361" i="41"/>
  <c r="H361" i="41" s="1"/>
  <c r="E478" i="40"/>
  <c r="E475" i="40" s="1"/>
  <c r="E477" i="40"/>
  <c r="E474" i="40" s="1"/>
  <c r="E474" i="41"/>
  <c r="G474" i="41" s="1"/>
  <c r="H474" i="41" s="1"/>
  <c r="F477" i="40"/>
  <c r="G477" i="40" s="1"/>
  <c r="F478" i="40"/>
  <c r="G478" i="40" s="1"/>
  <c r="E80" i="41"/>
  <c r="G80" i="41" s="1"/>
  <c r="H80" i="41" s="1"/>
  <c r="E80" i="40"/>
  <c r="F80" i="40"/>
  <c r="G80" i="40" s="1"/>
  <c r="E45" i="41"/>
  <c r="G45" i="41" s="1"/>
  <c r="H45" i="41" s="1"/>
  <c r="E634" i="41"/>
  <c r="G634" i="41" s="1"/>
  <c r="H634" i="41" s="1"/>
  <c r="E633" i="41"/>
  <c r="G633" i="41" s="1"/>
  <c r="H633" i="41" s="1"/>
  <c r="E625" i="41"/>
  <c r="G625" i="41" s="1"/>
  <c r="H625" i="41" s="1"/>
  <c r="E624" i="41"/>
  <c r="G624" i="41" s="1"/>
  <c r="H624" i="41" s="1"/>
  <c r="E607" i="41"/>
  <c r="G607" i="41" s="1"/>
  <c r="H607" i="41" s="1"/>
  <c r="E606" i="41"/>
  <c r="G606" i="41" s="1"/>
  <c r="H606" i="41" s="1"/>
  <c r="E601" i="41"/>
  <c r="G601" i="41" s="1"/>
  <c r="H601" i="41" s="1"/>
  <c r="E600" i="41"/>
  <c r="G600" i="41" s="1"/>
  <c r="H600" i="41" s="1"/>
  <c r="E586" i="41"/>
  <c r="G586" i="41" s="1"/>
  <c r="H586" i="41" s="1"/>
  <c r="E585" i="41"/>
  <c r="G585" i="41" s="1"/>
  <c r="H585" i="41" s="1"/>
  <c r="E583" i="41"/>
  <c r="G583" i="41" s="1"/>
  <c r="H583" i="41" s="1"/>
  <c r="E582" i="41"/>
  <c r="G582" i="41" s="1"/>
  <c r="H582" i="41" s="1"/>
  <c r="E580" i="41"/>
  <c r="G580" i="41" s="1"/>
  <c r="H580" i="41" s="1"/>
  <c r="E579" i="41"/>
  <c r="G579" i="41" s="1"/>
  <c r="H579" i="41" s="1"/>
  <c r="E568" i="41"/>
  <c r="G568" i="41" s="1"/>
  <c r="H568" i="41" s="1"/>
  <c r="E567" i="41"/>
  <c r="G567" i="41" s="1"/>
  <c r="H567" i="41" s="1"/>
  <c r="E562" i="41"/>
  <c r="G562" i="41" s="1"/>
  <c r="H562" i="41" s="1"/>
  <c r="E561" i="41"/>
  <c r="G561" i="41" s="1"/>
  <c r="H561" i="41" s="1"/>
  <c r="E559" i="41"/>
  <c r="G559" i="41" s="1"/>
  <c r="H559" i="41" s="1"/>
  <c r="E558" i="41"/>
  <c r="G558" i="41" s="1"/>
  <c r="H558" i="41" s="1"/>
  <c r="E556" i="41"/>
  <c r="G556" i="41" s="1"/>
  <c r="H556" i="41" s="1"/>
  <c r="E555" i="41"/>
  <c r="G555" i="41" s="1"/>
  <c r="H555" i="41" s="1"/>
  <c r="E550" i="41"/>
  <c r="G550" i="41" s="1"/>
  <c r="H550" i="41" s="1"/>
  <c r="E549" i="41"/>
  <c r="G549" i="41" s="1"/>
  <c r="H549" i="41" s="1"/>
  <c r="E547" i="41"/>
  <c r="G547" i="41" s="1"/>
  <c r="H547" i="41" s="1"/>
  <c r="E546" i="41"/>
  <c r="G546" i="41" s="1"/>
  <c r="H546" i="41" s="1"/>
  <c r="E544" i="41"/>
  <c r="G544" i="41" s="1"/>
  <c r="H544" i="41" s="1"/>
  <c r="E543" i="41"/>
  <c r="G543" i="41" s="1"/>
  <c r="H543" i="41" s="1"/>
  <c r="E499" i="41"/>
  <c r="G499" i="41" s="1"/>
  <c r="H499" i="41" s="1"/>
  <c r="E498" i="41"/>
  <c r="G498" i="41" s="1"/>
  <c r="H498" i="41" s="1"/>
  <c r="E472" i="41"/>
  <c r="G472" i="41" s="1"/>
  <c r="H472" i="41" s="1"/>
  <c r="E471" i="41"/>
  <c r="G471" i="41" s="1"/>
  <c r="H471" i="41" s="1"/>
  <c r="E469" i="41"/>
  <c r="G469" i="41" s="1"/>
  <c r="H469" i="41" s="1"/>
  <c r="E468" i="41"/>
  <c r="G468" i="41" s="1"/>
  <c r="H468" i="41" s="1"/>
  <c r="E466" i="41"/>
  <c r="G466" i="41" s="1"/>
  <c r="H466" i="41" s="1"/>
  <c r="E465" i="41"/>
  <c r="G465" i="41" s="1"/>
  <c r="H465" i="41" s="1"/>
  <c r="E463" i="41"/>
  <c r="G463" i="41" s="1"/>
  <c r="H463" i="41" s="1"/>
  <c r="E462" i="41"/>
  <c r="G462" i="41" s="1"/>
  <c r="H462" i="41" s="1"/>
  <c r="E460" i="41"/>
  <c r="G460" i="41" s="1"/>
  <c r="H460" i="41" s="1"/>
  <c r="E459" i="41"/>
  <c r="G459" i="41" s="1"/>
  <c r="H459" i="41" s="1"/>
  <c r="E448" i="41"/>
  <c r="G448" i="41" s="1"/>
  <c r="H448" i="41" s="1"/>
  <c r="E447" i="41"/>
  <c r="G447" i="41" s="1"/>
  <c r="H447" i="41" s="1"/>
  <c r="E442" i="41"/>
  <c r="E441" i="41"/>
  <c r="E436" i="41"/>
  <c r="G436" i="41" s="1"/>
  <c r="H436" i="41" s="1"/>
  <c r="E435" i="41"/>
  <c r="G435" i="41" s="1"/>
  <c r="H435" i="41" s="1"/>
  <c r="E433" i="41"/>
  <c r="G433" i="41" s="1"/>
  <c r="H433" i="41" s="1"/>
  <c r="E432" i="41"/>
  <c r="G432" i="41" s="1"/>
  <c r="H432" i="41" s="1"/>
  <c r="E430" i="41"/>
  <c r="G430" i="41" s="1"/>
  <c r="H430" i="41" s="1"/>
  <c r="E429" i="41"/>
  <c r="G429" i="41" s="1"/>
  <c r="H429" i="41" s="1"/>
  <c r="E424" i="41"/>
  <c r="G424" i="41" s="1"/>
  <c r="H424" i="41" s="1"/>
  <c r="E423" i="41"/>
  <c r="G423" i="41" s="1"/>
  <c r="H423" i="41" s="1"/>
  <c r="E421" i="41"/>
  <c r="G421" i="41" s="1"/>
  <c r="H421" i="41" s="1"/>
  <c r="E420" i="41"/>
  <c r="G420" i="41" s="1"/>
  <c r="H420" i="41" s="1"/>
  <c r="E415" i="41"/>
  <c r="G415" i="41" s="1"/>
  <c r="H415" i="41" s="1"/>
  <c r="E414" i="41"/>
  <c r="G414" i="41" s="1"/>
  <c r="H414" i="41" s="1"/>
  <c r="E412" i="41"/>
  <c r="G412" i="41" s="1"/>
  <c r="H412" i="41" s="1"/>
  <c r="E411" i="41"/>
  <c r="G411" i="41" s="1"/>
  <c r="H411" i="41" s="1"/>
  <c r="E409" i="41"/>
  <c r="G409" i="41" s="1"/>
  <c r="H409" i="41" s="1"/>
  <c r="E408" i="41"/>
  <c r="G408" i="41" s="1"/>
  <c r="H408" i="41" s="1"/>
  <c r="E403" i="41"/>
  <c r="G403" i="41" s="1"/>
  <c r="H403" i="41" s="1"/>
  <c r="E402" i="41"/>
  <c r="G402" i="41" s="1"/>
  <c r="H402" i="41" s="1"/>
  <c r="E400" i="41"/>
  <c r="G400" i="41" s="1"/>
  <c r="H400" i="41" s="1"/>
  <c r="E399" i="41"/>
  <c r="G399" i="41" s="1"/>
  <c r="H399" i="41" s="1"/>
  <c r="E394" i="41"/>
  <c r="G394" i="41" s="1"/>
  <c r="H394" i="41" s="1"/>
  <c r="E393" i="41"/>
  <c r="G393" i="41" s="1"/>
  <c r="H393" i="41" s="1"/>
  <c r="E391" i="41"/>
  <c r="G391" i="41" s="1"/>
  <c r="H391" i="41" s="1"/>
  <c r="E390" i="41"/>
  <c r="G390" i="41" s="1"/>
  <c r="H390" i="41" s="1"/>
  <c r="E385" i="41"/>
  <c r="G385" i="41" s="1"/>
  <c r="H385" i="41" s="1"/>
  <c r="E384" i="41"/>
  <c r="G384" i="41" s="1"/>
  <c r="H384" i="41" s="1"/>
  <c r="E382" i="41"/>
  <c r="G382" i="41" s="1"/>
  <c r="H382" i="41" s="1"/>
  <c r="E381" i="41"/>
  <c r="G381" i="41" s="1"/>
  <c r="H381" i="41" s="1"/>
  <c r="E379" i="41"/>
  <c r="G379" i="41" s="1"/>
  <c r="H379" i="41" s="1"/>
  <c r="E378" i="41"/>
  <c r="G378" i="41" s="1"/>
  <c r="H378" i="41" s="1"/>
  <c r="E370" i="41"/>
  <c r="G370" i="41" s="1"/>
  <c r="H370" i="41" s="1"/>
  <c r="E369" i="41"/>
  <c r="G369" i="41" s="1"/>
  <c r="H369" i="41" s="1"/>
  <c r="E349" i="41"/>
  <c r="G349" i="41" s="1"/>
  <c r="H349" i="41" s="1"/>
  <c r="E348" i="41"/>
  <c r="G348" i="41" s="1"/>
  <c r="H348" i="41" s="1"/>
  <c r="E346" i="41"/>
  <c r="G346" i="41" s="1"/>
  <c r="H346" i="41" s="1"/>
  <c r="E345" i="41"/>
  <c r="G345" i="41" s="1"/>
  <c r="H345" i="41" s="1"/>
  <c r="E343" i="41"/>
  <c r="G343" i="41" s="1"/>
  <c r="H343" i="41" s="1"/>
  <c r="E342" i="41"/>
  <c r="G342" i="41" s="1"/>
  <c r="H342" i="41" s="1"/>
  <c r="E334" i="41"/>
  <c r="G334" i="41" s="1"/>
  <c r="H334" i="41" s="1"/>
  <c r="E333" i="41"/>
  <c r="G333" i="41" s="1"/>
  <c r="H333" i="41" s="1"/>
  <c r="E331" i="41"/>
  <c r="G331" i="41" s="1"/>
  <c r="H331" i="41" s="1"/>
  <c r="E330" i="41"/>
  <c r="G330" i="41" s="1"/>
  <c r="H330" i="41" s="1"/>
  <c r="E328" i="41"/>
  <c r="G328" i="41" s="1"/>
  <c r="H328" i="41" s="1"/>
  <c r="E327" i="41"/>
  <c r="G327" i="41" s="1"/>
  <c r="H327" i="41" s="1"/>
  <c r="E325" i="41"/>
  <c r="G325" i="41" s="1"/>
  <c r="H325" i="41" s="1"/>
  <c r="E324" i="41"/>
  <c r="G324" i="41" s="1"/>
  <c r="H324" i="41" s="1"/>
  <c r="E313" i="41"/>
  <c r="G313" i="41" s="1"/>
  <c r="H313" i="41" s="1"/>
  <c r="E312" i="41"/>
  <c r="G312" i="41" s="1"/>
  <c r="H312" i="41" s="1"/>
  <c r="E322" i="41"/>
  <c r="G322" i="41" s="1"/>
  <c r="H322" i="41" s="1"/>
  <c r="E321" i="41"/>
  <c r="G321" i="41" s="1"/>
  <c r="H321" i="41" s="1"/>
  <c r="E319" i="41"/>
  <c r="G319" i="41" s="1"/>
  <c r="H319" i="41" s="1"/>
  <c r="E318" i="41"/>
  <c r="G318" i="41" s="1"/>
  <c r="H318" i="41" s="1"/>
  <c r="E310" i="41"/>
  <c r="G310" i="41" s="1"/>
  <c r="H310" i="41" s="1"/>
  <c r="E309" i="41"/>
  <c r="G309" i="41" s="1"/>
  <c r="H309" i="41" s="1"/>
  <c r="E304" i="41"/>
  <c r="G304" i="41" s="1"/>
  <c r="H304" i="41" s="1"/>
  <c r="E303" i="41"/>
  <c r="G303" i="41" s="1"/>
  <c r="H303" i="41" s="1"/>
  <c r="E301" i="41"/>
  <c r="G301" i="41" s="1"/>
  <c r="H301" i="41" s="1"/>
  <c r="E300" i="41"/>
  <c r="G300" i="41" s="1"/>
  <c r="H300" i="41" s="1"/>
  <c r="E298" i="41"/>
  <c r="G298" i="41" s="1"/>
  <c r="H298" i="41" s="1"/>
  <c r="E297" i="41"/>
  <c r="G297" i="41" s="1"/>
  <c r="H297" i="41" s="1"/>
  <c r="E295" i="41"/>
  <c r="G295" i="41" s="1"/>
  <c r="H295" i="41" s="1"/>
  <c r="E294" i="41"/>
  <c r="G294" i="41" s="1"/>
  <c r="H294" i="41" s="1"/>
  <c r="E292" i="41"/>
  <c r="G292" i="41" s="1"/>
  <c r="H292" i="41" s="1"/>
  <c r="E291" i="41"/>
  <c r="G291" i="41" s="1"/>
  <c r="H291" i="41" s="1"/>
  <c r="E289" i="41"/>
  <c r="G289" i="41" s="1"/>
  <c r="H289" i="41" s="1"/>
  <c r="E288" i="41"/>
  <c r="G288" i="41" s="1"/>
  <c r="H288" i="41" s="1"/>
  <c r="E286" i="41"/>
  <c r="G286" i="41" s="1"/>
  <c r="H286" i="41" s="1"/>
  <c r="E285" i="41"/>
  <c r="G285" i="41" s="1"/>
  <c r="H285" i="41" s="1"/>
  <c r="E283" i="41"/>
  <c r="G283" i="41" s="1"/>
  <c r="H283" i="41" s="1"/>
  <c r="E282" i="41"/>
  <c r="G282" i="41" s="1"/>
  <c r="H282" i="41" s="1"/>
  <c r="E280" i="41"/>
  <c r="G280" i="41" s="1"/>
  <c r="H280" i="41" s="1"/>
  <c r="E279" i="41"/>
  <c r="G279" i="41" s="1"/>
  <c r="H279" i="41" s="1"/>
  <c r="E277" i="41"/>
  <c r="G277" i="41" s="1"/>
  <c r="H277" i="41" s="1"/>
  <c r="E276" i="41"/>
  <c r="G276" i="41" s="1"/>
  <c r="H276" i="41" s="1"/>
  <c r="E271" i="41"/>
  <c r="G271" i="41" s="1"/>
  <c r="H271" i="41" s="1"/>
  <c r="E270" i="41"/>
  <c r="G270" i="41" s="1"/>
  <c r="H270" i="41" s="1"/>
  <c r="E268" i="41"/>
  <c r="G268" i="41" s="1"/>
  <c r="H268" i="41" s="1"/>
  <c r="E267" i="41"/>
  <c r="G267" i="41" s="1"/>
  <c r="H267" i="41" s="1"/>
  <c r="E265" i="41"/>
  <c r="G265" i="41" s="1"/>
  <c r="H265" i="41" s="1"/>
  <c r="E264" i="41"/>
  <c r="G264" i="41" s="1"/>
  <c r="H264" i="41" s="1"/>
  <c r="E259" i="41"/>
  <c r="G259" i="41" s="1"/>
  <c r="H259" i="41" s="1"/>
  <c r="E258" i="41"/>
  <c r="G258" i="41" s="1"/>
  <c r="H258" i="41" s="1"/>
  <c r="E256" i="41"/>
  <c r="G256" i="41" s="1"/>
  <c r="H256" i="41" s="1"/>
  <c r="E255" i="41"/>
  <c r="G255" i="41" s="1"/>
  <c r="H255" i="41" s="1"/>
  <c r="E253" i="41"/>
  <c r="G253" i="41" s="1"/>
  <c r="H253" i="41" s="1"/>
  <c r="E252" i="41"/>
  <c r="G252" i="41" s="1"/>
  <c r="H252" i="41" s="1"/>
  <c r="E250" i="41"/>
  <c r="G250" i="41" s="1"/>
  <c r="H250" i="41" s="1"/>
  <c r="E249" i="41"/>
  <c r="G249" i="41" s="1"/>
  <c r="H249" i="41" s="1"/>
  <c r="E244" i="41"/>
  <c r="G244" i="41" s="1"/>
  <c r="H244" i="41" s="1"/>
  <c r="E243" i="41"/>
  <c r="G243" i="41" s="1"/>
  <c r="H243" i="41" s="1"/>
  <c r="E238" i="41"/>
  <c r="G238" i="41" s="1"/>
  <c r="H238" i="41" s="1"/>
  <c r="E237" i="41"/>
  <c r="G237" i="41" s="1"/>
  <c r="H237" i="41" s="1"/>
  <c r="E235" i="41"/>
  <c r="G235" i="41" s="1"/>
  <c r="H235" i="41" s="1"/>
  <c r="E234" i="41"/>
  <c r="G234" i="41" s="1"/>
  <c r="H234" i="41" s="1"/>
  <c r="E232" i="41"/>
  <c r="G232" i="41" s="1"/>
  <c r="H232" i="41" s="1"/>
  <c r="E231" i="41"/>
  <c r="G231" i="41" s="1"/>
  <c r="H231" i="41" s="1"/>
  <c r="E229" i="41"/>
  <c r="G229" i="41" s="1"/>
  <c r="H229" i="41" s="1"/>
  <c r="E228" i="41"/>
  <c r="G228" i="41" s="1"/>
  <c r="H228" i="41" s="1"/>
  <c r="E226" i="41"/>
  <c r="G226" i="41" s="1"/>
  <c r="H226" i="41" s="1"/>
  <c r="E225" i="41"/>
  <c r="G225" i="41" s="1"/>
  <c r="H225" i="41" s="1"/>
  <c r="E223" i="41"/>
  <c r="G223" i="41" s="1"/>
  <c r="H223" i="41" s="1"/>
  <c r="E222" i="41"/>
  <c r="G222" i="41" s="1"/>
  <c r="H222" i="41" s="1"/>
  <c r="E220" i="41"/>
  <c r="G220" i="41" s="1"/>
  <c r="H220" i="41" s="1"/>
  <c r="E219" i="41"/>
  <c r="G219" i="41" s="1"/>
  <c r="H219" i="41" s="1"/>
  <c r="E217" i="41"/>
  <c r="G217" i="41" s="1"/>
  <c r="H217" i="41" s="1"/>
  <c r="E216" i="41"/>
  <c r="G216" i="41" s="1"/>
  <c r="H216" i="41" s="1"/>
  <c r="E214" i="41"/>
  <c r="G214" i="41" s="1"/>
  <c r="H214" i="41" s="1"/>
  <c r="E213" i="41"/>
  <c r="G213" i="41" s="1"/>
  <c r="H213" i="41" s="1"/>
  <c r="E211" i="41"/>
  <c r="G211" i="41" s="1"/>
  <c r="H211" i="41" s="1"/>
  <c r="E210" i="41"/>
  <c r="G210" i="41" s="1"/>
  <c r="H210" i="41" s="1"/>
  <c r="E208" i="41"/>
  <c r="G208" i="41" s="1"/>
  <c r="H208" i="41" s="1"/>
  <c r="E207" i="41"/>
  <c r="G207" i="41" s="1"/>
  <c r="H207" i="41" s="1"/>
  <c r="E199" i="41"/>
  <c r="G199" i="41" s="1"/>
  <c r="H199" i="41" s="1"/>
  <c r="E198" i="41"/>
  <c r="G198" i="41" s="1"/>
  <c r="H198" i="41" s="1"/>
  <c r="E196" i="41"/>
  <c r="G196" i="41" s="1"/>
  <c r="H196" i="41" s="1"/>
  <c r="E195" i="41"/>
  <c r="G195" i="41" s="1"/>
  <c r="H195" i="41" s="1"/>
  <c r="E193" i="41"/>
  <c r="G193" i="41" s="1"/>
  <c r="H193" i="41" s="1"/>
  <c r="E192" i="41"/>
  <c r="G192" i="41" s="1"/>
  <c r="H192" i="41" s="1"/>
  <c r="E190" i="41"/>
  <c r="G190" i="41" s="1"/>
  <c r="H190" i="41" s="1"/>
  <c r="E189" i="41"/>
  <c r="G189" i="41" s="1"/>
  <c r="H189" i="41" s="1"/>
  <c r="E187" i="41"/>
  <c r="G187" i="41" s="1"/>
  <c r="H187" i="41" s="1"/>
  <c r="E186" i="41"/>
  <c r="G186" i="41" s="1"/>
  <c r="H186" i="41" s="1"/>
  <c r="E184" i="41"/>
  <c r="G184" i="41" s="1"/>
  <c r="H184" i="41" s="1"/>
  <c r="E183" i="41"/>
  <c r="G183" i="41" s="1"/>
  <c r="H183" i="41" s="1"/>
  <c r="E181" i="41"/>
  <c r="G181" i="41" s="1"/>
  <c r="H181" i="41" s="1"/>
  <c r="E180" i="41"/>
  <c r="G180" i="41" s="1"/>
  <c r="H180" i="41" s="1"/>
  <c r="E178" i="41"/>
  <c r="G178" i="41" s="1"/>
  <c r="H178" i="41" s="1"/>
  <c r="E177" i="41"/>
  <c r="G177" i="41" s="1"/>
  <c r="H177" i="41" s="1"/>
  <c r="E172" i="41"/>
  <c r="G172" i="41" s="1"/>
  <c r="H172" i="41" s="1"/>
  <c r="E171" i="41"/>
  <c r="G171" i="41" s="1"/>
  <c r="H171" i="41" s="1"/>
  <c r="E169" i="41"/>
  <c r="E168" i="41"/>
  <c r="E160" i="41"/>
  <c r="G160" i="41" s="1"/>
  <c r="H160" i="41" s="1"/>
  <c r="E159" i="41"/>
  <c r="G159" i="41" s="1"/>
  <c r="H159" i="41" s="1"/>
  <c r="E157" i="41"/>
  <c r="G157" i="41" s="1"/>
  <c r="H157" i="41" s="1"/>
  <c r="E156" i="41"/>
  <c r="G156" i="41" s="1"/>
  <c r="H156" i="41" s="1"/>
  <c r="E154" i="41"/>
  <c r="G154" i="41" s="1"/>
  <c r="H154" i="41" s="1"/>
  <c r="E153" i="41"/>
  <c r="G153" i="41" s="1"/>
  <c r="H153" i="41" s="1"/>
  <c r="E151" i="41"/>
  <c r="G151" i="41" s="1"/>
  <c r="H151" i="41" s="1"/>
  <c r="E150" i="41"/>
  <c r="G150" i="41" s="1"/>
  <c r="H150" i="41" s="1"/>
  <c r="E148" i="41"/>
  <c r="G148" i="41" s="1"/>
  <c r="H148" i="41" s="1"/>
  <c r="E147" i="41"/>
  <c r="G147" i="41" s="1"/>
  <c r="H147" i="41" s="1"/>
  <c r="E145" i="41"/>
  <c r="G145" i="41" s="1"/>
  <c r="H145" i="41" s="1"/>
  <c r="E144" i="41"/>
  <c r="G144" i="41" s="1"/>
  <c r="H144" i="41" s="1"/>
  <c r="E142" i="41"/>
  <c r="G142" i="41" s="1"/>
  <c r="H142" i="41" s="1"/>
  <c r="E141" i="41"/>
  <c r="G141" i="41" s="1"/>
  <c r="H141" i="41" s="1"/>
  <c r="E139" i="41"/>
  <c r="G139" i="41" s="1"/>
  <c r="H139" i="41" s="1"/>
  <c r="E138" i="41"/>
  <c r="E85" i="41"/>
  <c r="G85" i="41" s="1"/>
  <c r="H85" i="41" s="1"/>
  <c r="E84" i="41"/>
  <c r="G84" i="41" s="1"/>
  <c r="H84" i="41" s="1"/>
  <c r="E83" i="41"/>
  <c r="G83" i="41" s="1"/>
  <c r="H83" i="41" s="1"/>
  <c r="E79" i="41"/>
  <c r="G79" i="41" s="1"/>
  <c r="H79" i="41" s="1"/>
  <c r="E77" i="41"/>
  <c r="G77" i="41" s="1"/>
  <c r="H77" i="41" s="1"/>
  <c r="E76" i="41"/>
  <c r="G76" i="41" s="1"/>
  <c r="H76" i="41" s="1"/>
  <c r="E75" i="41"/>
  <c r="G75" i="41" s="1"/>
  <c r="H75" i="41" s="1"/>
  <c r="E73" i="41"/>
  <c r="G73" i="41" s="1"/>
  <c r="H73" i="41" s="1"/>
  <c r="E72" i="41"/>
  <c r="G72" i="41" s="1"/>
  <c r="H72" i="41" s="1"/>
  <c r="E71" i="41"/>
  <c r="G71" i="41" s="1"/>
  <c r="H71" i="41" s="1"/>
  <c r="E69" i="41"/>
  <c r="G69" i="41" s="1"/>
  <c r="H69" i="41" s="1"/>
  <c r="E67" i="41"/>
  <c r="G67" i="41" s="1"/>
  <c r="H67" i="41" s="1"/>
  <c r="E68" i="41"/>
  <c r="G68" i="41" s="1"/>
  <c r="H68" i="41" s="1"/>
  <c r="E56" i="41"/>
  <c r="G56" i="41" s="1"/>
  <c r="H56" i="41" s="1"/>
  <c r="E54" i="41"/>
  <c r="G54" i="41" s="1"/>
  <c r="H54" i="41" s="1"/>
  <c r="E49" i="41"/>
  <c r="G49" i="41" s="1"/>
  <c r="H49" i="41" s="1"/>
  <c r="E48" i="41"/>
  <c r="G48" i="41" s="1"/>
  <c r="H48" i="41" s="1"/>
  <c r="E47" i="41"/>
  <c r="G47" i="41" s="1"/>
  <c r="H47" i="41" s="1"/>
  <c r="E44" i="41"/>
  <c r="G44" i="41" s="1"/>
  <c r="H44" i="41" s="1"/>
  <c r="E43" i="41"/>
  <c r="G43" i="41" s="1"/>
  <c r="H43" i="41" s="1"/>
  <c r="E42" i="41"/>
  <c r="G42" i="41" s="1"/>
  <c r="H42" i="41" s="1"/>
  <c r="E40" i="41"/>
  <c r="G40" i="41" s="1"/>
  <c r="H40" i="41" s="1"/>
  <c r="E38" i="41"/>
  <c r="G38" i="41" s="1"/>
  <c r="H38" i="41" s="1"/>
  <c r="E37" i="41"/>
  <c r="G37" i="41" s="1"/>
  <c r="H37" i="41" s="1"/>
  <c r="E31" i="41"/>
  <c r="G31" i="41" s="1"/>
  <c r="H31" i="41" s="1"/>
  <c r="E30" i="41"/>
  <c r="G30" i="41" s="1"/>
  <c r="H30" i="41" s="1"/>
  <c r="E26" i="41"/>
  <c r="G26" i="41" s="1"/>
  <c r="H26" i="41" s="1"/>
  <c r="E24" i="41"/>
  <c r="G24" i="41" s="1"/>
  <c r="H24" i="41" s="1"/>
  <c r="E22" i="41"/>
  <c r="G22" i="41" s="1"/>
  <c r="H22" i="41" s="1"/>
  <c r="E20" i="41"/>
  <c r="G20" i="41" s="1"/>
  <c r="H20" i="41" s="1"/>
  <c r="E634" i="40"/>
  <c r="F634" i="40" s="1"/>
  <c r="E633" i="40"/>
  <c r="F633" i="40" s="1"/>
  <c r="E625" i="40"/>
  <c r="F625" i="40" s="1"/>
  <c r="G625" i="40" s="1"/>
  <c r="E624" i="40"/>
  <c r="F624" i="40" s="1"/>
  <c r="G624" i="40" s="1"/>
  <c r="E607" i="40"/>
  <c r="F607" i="40" s="1"/>
  <c r="E606" i="40"/>
  <c r="F606" i="40" s="1"/>
  <c r="E601" i="40"/>
  <c r="F601" i="40" s="1"/>
  <c r="E600" i="40"/>
  <c r="F600" i="40" s="1"/>
  <c r="E586" i="40"/>
  <c r="F586" i="40" s="1"/>
  <c r="E585" i="40"/>
  <c r="F585" i="40" s="1"/>
  <c r="E580" i="40"/>
  <c r="F580" i="40" s="1"/>
  <c r="E579" i="40"/>
  <c r="F579" i="40" s="1"/>
  <c r="E568" i="40"/>
  <c r="F568" i="40" s="1"/>
  <c r="E567" i="40"/>
  <c r="F567" i="40" s="1"/>
  <c r="E562" i="40"/>
  <c r="F562" i="40" s="1"/>
  <c r="E561" i="40"/>
  <c r="F561" i="40" s="1"/>
  <c r="E556" i="40"/>
  <c r="F556" i="40" s="1"/>
  <c r="E555" i="40"/>
  <c r="F555" i="40" s="1"/>
  <c r="E550" i="40"/>
  <c r="F550" i="40" s="1"/>
  <c r="E549" i="40"/>
  <c r="F549" i="40" s="1"/>
  <c r="E547" i="40"/>
  <c r="F547" i="40" s="1"/>
  <c r="G547" i="40" s="1"/>
  <c r="E546" i="40"/>
  <c r="F546" i="40" s="1"/>
  <c r="G546" i="40" s="1"/>
  <c r="E544" i="40"/>
  <c r="F544" i="40" s="1"/>
  <c r="G544" i="40" s="1"/>
  <c r="E543" i="40"/>
  <c r="F543" i="40" s="1"/>
  <c r="G543" i="40" s="1"/>
  <c r="E499" i="40"/>
  <c r="F499" i="40" s="1"/>
  <c r="E498" i="40"/>
  <c r="F498" i="40" s="1"/>
  <c r="E472" i="40"/>
  <c r="F472" i="40" s="1"/>
  <c r="E471" i="40"/>
  <c r="F471" i="40" s="1"/>
  <c r="E469" i="40"/>
  <c r="F469" i="40" s="1"/>
  <c r="E468" i="40"/>
  <c r="F468" i="40" s="1"/>
  <c r="E466" i="40"/>
  <c r="F466" i="40" s="1"/>
  <c r="G466" i="40" s="1"/>
  <c r="E465" i="40"/>
  <c r="F465" i="40" s="1"/>
  <c r="G465" i="40" s="1"/>
  <c r="E463" i="40"/>
  <c r="F463" i="40" s="1"/>
  <c r="E462" i="40"/>
  <c r="F462" i="40" s="1"/>
  <c r="E460" i="40"/>
  <c r="F460" i="40" s="1"/>
  <c r="E459" i="40"/>
  <c r="F459" i="40" s="1"/>
  <c r="E448" i="40"/>
  <c r="F448" i="40" s="1"/>
  <c r="E447" i="40"/>
  <c r="F447" i="40" s="1"/>
  <c r="E442" i="40"/>
  <c r="E441" i="40"/>
  <c r="E433" i="40"/>
  <c r="F433" i="40" s="1"/>
  <c r="G433" i="40" s="1"/>
  <c r="E432" i="40"/>
  <c r="F432" i="40" s="1"/>
  <c r="G432" i="40" s="1"/>
  <c r="E430" i="40"/>
  <c r="F430" i="40" s="1"/>
  <c r="G430" i="40" s="1"/>
  <c r="E429" i="40"/>
  <c r="F429" i="40" s="1"/>
  <c r="G429" i="40" s="1"/>
  <c r="E424" i="40"/>
  <c r="F424" i="40" s="1"/>
  <c r="G424" i="40" s="1"/>
  <c r="E423" i="40"/>
  <c r="F423" i="40" s="1"/>
  <c r="G423" i="40" s="1"/>
  <c r="E421" i="40"/>
  <c r="F421" i="40" s="1"/>
  <c r="G421" i="40" s="1"/>
  <c r="E420" i="40"/>
  <c r="F420" i="40" s="1"/>
  <c r="G420" i="40" s="1"/>
  <c r="E415" i="40"/>
  <c r="F415" i="40" s="1"/>
  <c r="G415" i="40" s="1"/>
  <c r="E414" i="40"/>
  <c r="F414" i="40" s="1"/>
  <c r="G414" i="40" s="1"/>
  <c r="E412" i="40"/>
  <c r="F412" i="40" s="1"/>
  <c r="G412" i="40" s="1"/>
  <c r="E411" i="40"/>
  <c r="F411" i="40" s="1"/>
  <c r="G411" i="40" s="1"/>
  <c r="E409" i="40"/>
  <c r="F409" i="40" s="1"/>
  <c r="G409" i="40" s="1"/>
  <c r="E408" i="40"/>
  <c r="F408" i="40" s="1"/>
  <c r="G408" i="40" s="1"/>
  <c r="E394" i="40"/>
  <c r="F394" i="40" s="1"/>
  <c r="G394" i="40" s="1"/>
  <c r="E393" i="40"/>
  <c r="F393" i="40" s="1"/>
  <c r="G393" i="40" s="1"/>
  <c r="E382" i="40"/>
  <c r="F382" i="40" s="1"/>
  <c r="G382" i="40" s="1"/>
  <c r="E381" i="40"/>
  <c r="F381" i="40" s="1"/>
  <c r="G381" i="40" s="1"/>
  <c r="E346" i="40"/>
  <c r="F346" i="40" s="1"/>
  <c r="E345" i="40"/>
  <c r="F345" i="40" s="1"/>
  <c r="E334" i="40"/>
  <c r="F334" i="40" s="1"/>
  <c r="E333" i="40"/>
  <c r="F333" i="40" s="1"/>
  <c r="E331" i="40"/>
  <c r="F331" i="40" s="1"/>
  <c r="E330" i="40"/>
  <c r="F330" i="40" s="1"/>
  <c r="E328" i="40"/>
  <c r="F328" i="40" s="1"/>
  <c r="E327" i="40"/>
  <c r="F327" i="40" s="1"/>
  <c r="E325" i="40"/>
  <c r="F325" i="40" s="1"/>
  <c r="E324" i="40"/>
  <c r="F324" i="40" s="1"/>
  <c r="E322" i="40"/>
  <c r="F322" i="40" s="1"/>
  <c r="E321" i="40"/>
  <c r="F321" i="40" s="1"/>
  <c r="E319" i="40"/>
  <c r="F319" i="40" s="1"/>
  <c r="E318" i="40"/>
  <c r="F318" i="40" s="1"/>
  <c r="E313" i="40"/>
  <c r="F313" i="40" s="1"/>
  <c r="E312" i="40"/>
  <c r="F312" i="40" s="1"/>
  <c r="E304" i="40"/>
  <c r="F304" i="40" s="1"/>
  <c r="E303" i="40"/>
  <c r="F303" i="40" s="1"/>
  <c r="E301" i="40"/>
  <c r="F301" i="40" s="1"/>
  <c r="E300" i="40"/>
  <c r="F300" i="40" s="1"/>
  <c r="E298" i="40"/>
  <c r="F298" i="40" s="1"/>
  <c r="E297" i="40"/>
  <c r="F297" i="40" s="1"/>
  <c r="E295" i="40"/>
  <c r="F295" i="40" s="1"/>
  <c r="E294" i="40"/>
  <c r="F294" i="40" s="1"/>
  <c r="E292" i="40"/>
  <c r="F292" i="40" s="1"/>
  <c r="E291" i="40"/>
  <c r="F291" i="40" s="1"/>
  <c r="E289" i="40"/>
  <c r="F289" i="40" s="1"/>
  <c r="E288" i="40"/>
  <c r="F288" i="40" s="1"/>
  <c r="E286" i="40"/>
  <c r="F286" i="40" s="1"/>
  <c r="E285" i="40"/>
  <c r="F285" i="40" s="1"/>
  <c r="E283" i="40"/>
  <c r="F283" i="40" s="1"/>
  <c r="E282" i="40"/>
  <c r="F282" i="40" s="1"/>
  <c r="E280" i="40"/>
  <c r="F280" i="40" s="1"/>
  <c r="E279" i="40"/>
  <c r="F279" i="40" s="1"/>
  <c r="E277" i="40"/>
  <c r="F277" i="40" s="1"/>
  <c r="E276" i="40"/>
  <c r="F276" i="40" s="1"/>
  <c r="E271" i="40"/>
  <c r="F271" i="40" s="1"/>
  <c r="E270" i="40"/>
  <c r="F270" i="40" s="1"/>
  <c r="E268" i="40"/>
  <c r="F268" i="40" s="1"/>
  <c r="E267" i="40"/>
  <c r="F267" i="40" s="1"/>
  <c r="E265" i="40"/>
  <c r="F265" i="40" s="1"/>
  <c r="E264" i="40"/>
  <c r="F264" i="40" s="1"/>
  <c r="E259" i="40"/>
  <c r="F259" i="40" s="1"/>
  <c r="E258" i="40"/>
  <c r="F258" i="40" s="1"/>
  <c r="E256" i="40"/>
  <c r="F256" i="40" s="1"/>
  <c r="E255" i="40"/>
  <c r="F255" i="40" s="1"/>
  <c r="E253" i="40"/>
  <c r="F253" i="40" s="1"/>
  <c r="E252" i="40"/>
  <c r="F252" i="40" s="1"/>
  <c r="E250" i="40"/>
  <c r="F250" i="40" s="1"/>
  <c r="E249" i="40"/>
  <c r="F249" i="40" s="1"/>
  <c r="E238" i="40"/>
  <c r="F238" i="40" s="1"/>
  <c r="E237" i="40"/>
  <c r="F237" i="40" s="1"/>
  <c r="E235" i="40"/>
  <c r="F235" i="40" s="1"/>
  <c r="E234" i="40"/>
  <c r="F234" i="40" s="1"/>
  <c r="E232" i="40"/>
  <c r="F232" i="40" s="1"/>
  <c r="E231" i="40"/>
  <c r="F231" i="40" s="1"/>
  <c r="E229" i="40"/>
  <c r="F229" i="40" s="1"/>
  <c r="E228" i="40"/>
  <c r="F228" i="40" s="1"/>
  <c r="E226" i="40"/>
  <c r="F226" i="40" s="1"/>
  <c r="E225" i="40"/>
  <c r="F225" i="40" s="1"/>
  <c r="E223" i="40"/>
  <c r="F223" i="40" s="1"/>
  <c r="E222" i="40"/>
  <c r="F222" i="40" s="1"/>
  <c r="E220" i="40"/>
  <c r="F220" i="40" s="1"/>
  <c r="E219" i="40"/>
  <c r="F219" i="40" s="1"/>
  <c r="E217" i="40"/>
  <c r="F217" i="40" s="1"/>
  <c r="E216" i="40"/>
  <c r="F216" i="40" s="1"/>
  <c r="E214" i="40"/>
  <c r="F214" i="40" s="1"/>
  <c r="E213" i="40"/>
  <c r="F213" i="40" s="1"/>
  <c r="E211" i="40"/>
  <c r="F211" i="40" s="1"/>
  <c r="E210" i="40"/>
  <c r="F210" i="40" s="1"/>
  <c r="E208" i="40"/>
  <c r="F208" i="40" s="1"/>
  <c r="E207" i="40"/>
  <c r="F207" i="40" s="1"/>
  <c r="E199" i="40"/>
  <c r="F199" i="40" s="1"/>
  <c r="E198" i="40"/>
  <c r="F198" i="40" s="1"/>
  <c r="E196" i="40"/>
  <c r="F196" i="40" s="1"/>
  <c r="E195" i="40"/>
  <c r="F195" i="40" s="1"/>
  <c r="E193" i="40"/>
  <c r="F193" i="40" s="1"/>
  <c r="E192" i="40"/>
  <c r="F192" i="40" s="1"/>
  <c r="E187" i="40"/>
  <c r="F187" i="40" s="1"/>
  <c r="E186" i="40"/>
  <c r="F186" i="40" s="1"/>
  <c r="E184" i="40"/>
  <c r="F184" i="40" s="1"/>
  <c r="E183" i="40"/>
  <c r="F183" i="40" s="1"/>
  <c r="E181" i="40"/>
  <c r="F181" i="40" s="1"/>
  <c r="E180" i="40"/>
  <c r="F180" i="40" s="1"/>
  <c r="E178" i="40"/>
  <c r="F178" i="40" s="1"/>
  <c r="E177" i="40"/>
  <c r="F177" i="40" s="1"/>
  <c r="E172" i="40"/>
  <c r="F172" i="40" s="1"/>
  <c r="E171" i="40"/>
  <c r="F171" i="40" s="1"/>
  <c r="E169" i="40"/>
  <c r="E168" i="40"/>
  <c r="E160" i="40"/>
  <c r="F160" i="40" s="1"/>
  <c r="E159" i="40"/>
  <c r="F159" i="40" s="1"/>
  <c r="E157" i="40"/>
  <c r="F157" i="40" s="1"/>
  <c r="E156" i="40"/>
  <c r="F156" i="40" s="1"/>
  <c r="E151" i="40"/>
  <c r="F151" i="40" s="1"/>
  <c r="E150" i="40"/>
  <c r="F150" i="40" s="1"/>
  <c r="E148" i="40"/>
  <c r="F148" i="40" s="1"/>
  <c r="E147" i="40"/>
  <c r="F147" i="40" s="1"/>
  <c r="E145" i="40"/>
  <c r="F145" i="40" s="1"/>
  <c r="E144" i="40"/>
  <c r="F144" i="40" s="1"/>
  <c r="E142" i="40"/>
  <c r="F142" i="40" s="1"/>
  <c r="E141" i="40"/>
  <c r="F141" i="40" s="1"/>
  <c r="E139" i="40"/>
  <c r="F139" i="40" s="1"/>
  <c r="E138" i="40"/>
  <c r="F138" i="40" s="1"/>
  <c r="E44" i="40"/>
  <c r="F44" i="40" s="1"/>
  <c r="E43" i="40"/>
  <c r="F43" i="40" s="1"/>
  <c r="E84" i="40"/>
  <c r="F84" i="40" s="1"/>
  <c r="E83" i="40"/>
  <c r="F83" i="40" s="1"/>
  <c r="G83" i="40" s="1"/>
  <c r="E79" i="40"/>
  <c r="F79" i="40" s="1"/>
  <c r="E76" i="40"/>
  <c r="F76" i="40" s="1"/>
  <c r="E72" i="40"/>
  <c r="F72" i="40" s="1"/>
  <c r="E71" i="40"/>
  <c r="F71" i="40" s="1"/>
  <c r="G71" i="40" s="1"/>
  <c r="E68" i="40"/>
  <c r="F68" i="40" s="1"/>
  <c r="G68" i="40" s="1"/>
  <c r="E56" i="40"/>
  <c r="E54" i="40"/>
  <c r="F54" i="40" s="1"/>
  <c r="G54" i="40" s="1"/>
  <c r="E49" i="40"/>
  <c r="F49" i="40" s="1"/>
  <c r="E48" i="40"/>
  <c r="F48" i="40" s="1"/>
  <c r="E47" i="40"/>
  <c r="F47" i="40" s="1"/>
  <c r="E42" i="40"/>
  <c r="F42" i="40" s="1"/>
  <c r="E40" i="40"/>
  <c r="F40" i="40" s="1"/>
  <c r="E38" i="40"/>
  <c r="F38" i="40" s="1"/>
  <c r="E37" i="40"/>
  <c r="F37" i="40" s="1"/>
  <c r="E31" i="40"/>
  <c r="F31" i="40" s="1"/>
  <c r="E30" i="40"/>
  <c r="F30" i="40" s="1"/>
  <c r="E26" i="40"/>
  <c r="F26" i="40" s="1"/>
  <c r="E24" i="40"/>
  <c r="F24" i="40" s="1"/>
  <c r="E22" i="40"/>
  <c r="F22" i="40" s="1"/>
  <c r="G22" i="40" s="1"/>
  <c r="E20" i="40"/>
  <c r="F20" i="40" s="1"/>
  <c r="G442" i="41" l="1"/>
  <c r="H442" i="41" s="1"/>
  <c r="E439" i="41"/>
  <c r="F441" i="40"/>
  <c r="F438" i="40" s="1"/>
  <c r="E438" i="40"/>
  <c r="F442" i="40"/>
  <c r="F439" i="40" s="1"/>
  <c r="E439" i="40"/>
  <c r="G441" i="41"/>
  <c r="H441" i="41" s="1"/>
  <c r="E438" i="41"/>
  <c r="G325" i="40"/>
  <c r="I325" i="40"/>
  <c r="G472" i="40"/>
  <c r="I472" i="40"/>
  <c r="G40" i="40"/>
  <c r="I40" i="40"/>
  <c r="G150" i="40"/>
  <c r="I150" i="40"/>
  <c r="G171" i="40"/>
  <c r="I171" i="40"/>
  <c r="G312" i="40"/>
  <c r="I312" i="40"/>
  <c r="G462" i="40"/>
  <c r="I462" i="40"/>
  <c r="G498" i="40"/>
  <c r="I498" i="40"/>
  <c r="I495" i="40" s="1"/>
  <c r="I492" i="40" s="1"/>
  <c r="G555" i="40"/>
  <c r="I555" i="40"/>
  <c r="G585" i="40"/>
  <c r="I585" i="40"/>
  <c r="G633" i="40"/>
  <c r="I633" i="40"/>
  <c r="I630" i="40" s="1"/>
  <c r="I627" i="40" s="1"/>
  <c r="I615" i="40" s="1"/>
  <c r="I612" i="40" s="1"/>
  <c r="I609" i="40" s="1"/>
  <c r="G148" i="40"/>
  <c r="I148" i="40"/>
  <c r="G42" i="40"/>
  <c r="I42" i="40"/>
  <c r="G151" i="40"/>
  <c r="I151" i="40"/>
  <c r="G172" i="40"/>
  <c r="I172" i="40"/>
  <c r="G313" i="40"/>
  <c r="I313" i="40"/>
  <c r="G463" i="40"/>
  <c r="I463" i="40"/>
  <c r="G499" i="40"/>
  <c r="I499" i="40"/>
  <c r="I496" i="40" s="1"/>
  <c r="I493" i="40" s="1"/>
  <c r="G556" i="40"/>
  <c r="I556" i="40"/>
  <c r="G586" i="40"/>
  <c r="I586" i="40"/>
  <c r="G634" i="40"/>
  <c r="I634" i="40"/>
  <c r="I631" i="40" s="1"/>
  <c r="I628" i="40" s="1"/>
  <c r="I616" i="40" s="1"/>
  <c r="I613" i="40" s="1"/>
  <c r="I610" i="40" s="1"/>
  <c r="G346" i="40"/>
  <c r="I346" i="40"/>
  <c r="I340" i="40" s="1"/>
  <c r="I337" i="40" s="1"/>
  <c r="I100" i="40" s="1"/>
  <c r="G141" i="40"/>
  <c r="I141" i="40"/>
  <c r="I441" i="40"/>
  <c r="G561" i="40"/>
  <c r="I561" i="40"/>
  <c r="G600" i="40"/>
  <c r="I591" i="40"/>
  <c r="G199" i="40"/>
  <c r="I199" i="40"/>
  <c r="G280" i="40"/>
  <c r="I280" i="40"/>
  <c r="G460" i="40"/>
  <c r="I460" i="40"/>
  <c r="G48" i="40"/>
  <c r="I48" i="40"/>
  <c r="G79" i="40"/>
  <c r="I79" i="40"/>
  <c r="I78" i="40" s="1"/>
  <c r="G142" i="40"/>
  <c r="I142" i="40"/>
  <c r="G157" i="40"/>
  <c r="I157" i="40"/>
  <c r="G286" i="40"/>
  <c r="I286" i="40"/>
  <c r="G331" i="40"/>
  <c r="I331" i="40"/>
  <c r="G442" i="40"/>
  <c r="I442" i="40"/>
  <c r="G562" i="40"/>
  <c r="I562" i="40"/>
  <c r="G601" i="40"/>
  <c r="I601" i="40"/>
  <c r="I592" i="40" s="1"/>
  <c r="G580" i="40"/>
  <c r="I580" i="40"/>
  <c r="I577" i="40" s="1"/>
  <c r="G330" i="40"/>
  <c r="I330" i="40"/>
  <c r="G30" i="40"/>
  <c r="I30" i="40"/>
  <c r="G49" i="40"/>
  <c r="I49" i="40"/>
  <c r="G144" i="40"/>
  <c r="I144" i="40"/>
  <c r="G258" i="40"/>
  <c r="I258" i="40"/>
  <c r="G300" i="40"/>
  <c r="I300" i="40"/>
  <c r="G447" i="40"/>
  <c r="I447" i="40"/>
  <c r="G468" i="40"/>
  <c r="I468" i="40"/>
  <c r="G606" i="40"/>
  <c r="I606" i="40"/>
  <c r="I603" i="40" s="1"/>
  <c r="G44" i="40"/>
  <c r="I44" i="40"/>
  <c r="G285" i="40"/>
  <c r="I285" i="40"/>
  <c r="G84" i="40"/>
  <c r="I84" i="40"/>
  <c r="I82" i="40" s="1"/>
  <c r="G145" i="40"/>
  <c r="I145" i="40"/>
  <c r="G259" i="40"/>
  <c r="I259" i="40"/>
  <c r="G301" i="40"/>
  <c r="I301" i="40"/>
  <c r="G448" i="40"/>
  <c r="I448" i="40"/>
  <c r="G469" i="40"/>
  <c r="I469" i="40"/>
  <c r="G607" i="40"/>
  <c r="I607" i="40"/>
  <c r="I604" i="40" s="1"/>
  <c r="G550" i="40"/>
  <c r="I550" i="40"/>
  <c r="I541" i="40" s="1"/>
  <c r="I529" i="40" s="1"/>
  <c r="G47" i="40"/>
  <c r="I47" i="40"/>
  <c r="G156" i="40"/>
  <c r="I156" i="40"/>
  <c r="G37" i="40"/>
  <c r="I37" i="40"/>
  <c r="G43" i="40"/>
  <c r="I43" i="40"/>
  <c r="G147" i="40"/>
  <c r="I147" i="40"/>
  <c r="G279" i="40"/>
  <c r="I279" i="40"/>
  <c r="G324" i="40"/>
  <c r="I324" i="40"/>
  <c r="G345" i="40"/>
  <c r="I345" i="40"/>
  <c r="I339" i="40" s="1"/>
  <c r="I336" i="40" s="1"/>
  <c r="I99" i="40" s="1"/>
  <c r="G459" i="40"/>
  <c r="I459" i="40"/>
  <c r="I456" i="40" s="1"/>
  <c r="G471" i="40"/>
  <c r="I471" i="40"/>
  <c r="G579" i="40"/>
  <c r="I579" i="40"/>
  <c r="I576" i="40" s="1"/>
  <c r="G334" i="40"/>
  <c r="I334" i="40"/>
  <c r="G333" i="40"/>
  <c r="I333" i="40"/>
  <c r="G328" i="40"/>
  <c r="I328" i="40"/>
  <c r="G327" i="40"/>
  <c r="I327" i="40"/>
  <c r="G322" i="40"/>
  <c r="I322" i="40"/>
  <c r="G321" i="40"/>
  <c r="I321" i="40"/>
  <c r="G319" i="40"/>
  <c r="I319" i="40"/>
  <c r="G318" i="40"/>
  <c r="I318" i="40"/>
  <c r="G304" i="40"/>
  <c r="I304" i="40"/>
  <c r="G303" i="40"/>
  <c r="I303" i="40"/>
  <c r="G298" i="40"/>
  <c r="I298" i="40"/>
  <c r="G297" i="40"/>
  <c r="I297" i="40"/>
  <c r="G295" i="40"/>
  <c r="I295" i="40"/>
  <c r="G294" i="40"/>
  <c r="I294" i="40"/>
  <c r="G292" i="40"/>
  <c r="I292" i="40"/>
  <c r="G291" i="40"/>
  <c r="I291" i="40"/>
  <c r="G289" i="40"/>
  <c r="I289" i="40"/>
  <c r="G288" i="40"/>
  <c r="I288" i="40"/>
  <c r="G283" i="40"/>
  <c r="I283" i="40"/>
  <c r="G282" i="40"/>
  <c r="I282" i="40"/>
  <c r="G277" i="40"/>
  <c r="I277" i="40"/>
  <c r="G276" i="40"/>
  <c r="I276" i="40"/>
  <c r="G271" i="40"/>
  <c r="I271" i="40"/>
  <c r="G270" i="40"/>
  <c r="I270" i="40"/>
  <c r="G268" i="40"/>
  <c r="I268" i="40"/>
  <c r="G267" i="40"/>
  <c r="I267" i="40"/>
  <c r="G265" i="40"/>
  <c r="I265" i="40"/>
  <c r="G264" i="40"/>
  <c r="I264" i="40"/>
  <c r="G256" i="40"/>
  <c r="I256" i="40"/>
  <c r="G255" i="40"/>
  <c r="I255" i="40"/>
  <c r="G253" i="40"/>
  <c r="I253" i="40"/>
  <c r="G252" i="40"/>
  <c r="I252" i="40"/>
  <c r="G250" i="40"/>
  <c r="I250" i="40"/>
  <c r="G249" i="40"/>
  <c r="I249" i="40"/>
  <c r="G238" i="40"/>
  <c r="I238" i="40"/>
  <c r="G237" i="40"/>
  <c r="I237" i="40"/>
  <c r="G235" i="40"/>
  <c r="I235" i="40"/>
  <c r="G234" i="40"/>
  <c r="I234" i="40"/>
  <c r="G232" i="40"/>
  <c r="I232" i="40"/>
  <c r="G231" i="40"/>
  <c r="I231" i="40"/>
  <c r="G229" i="40"/>
  <c r="I229" i="40"/>
  <c r="G228" i="40"/>
  <c r="I228" i="40"/>
  <c r="G226" i="40"/>
  <c r="I226" i="40"/>
  <c r="G225" i="40"/>
  <c r="I225" i="40"/>
  <c r="G223" i="40"/>
  <c r="I223" i="40"/>
  <c r="G222" i="40"/>
  <c r="I222" i="40"/>
  <c r="G220" i="40"/>
  <c r="I220" i="40"/>
  <c r="G219" i="40"/>
  <c r="I219" i="40"/>
  <c r="G217" i="40"/>
  <c r="I217" i="40"/>
  <c r="G216" i="40"/>
  <c r="I216" i="40"/>
  <c r="G214" i="40"/>
  <c r="I214" i="40"/>
  <c r="G213" i="40"/>
  <c r="I213" i="40"/>
  <c r="G211" i="40"/>
  <c r="I211" i="40"/>
  <c r="G210" i="40"/>
  <c r="I210" i="40"/>
  <c r="G208" i="40"/>
  <c r="I208" i="40"/>
  <c r="G207" i="40"/>
  <c r="I207" i="40"/>
  <c r="G196" i="40"/>
  <c r="I196" i="40"/>
  <c r="G195" i="40"/>
  <c r="I195" i="40"/>
  <c r="G193" i="40"/>
  <c r="I193" i="40"/>
  <c r="G192" i="40"/>
  <c r="I192" i="40"/>
  <c r="G187" i="40"/>
  <c r="I187" i="40"/>
  <c r="G186" i="40"/>
  <c r="I186" i="40"/>
  <c r="G184" i="40"/>
  <c r="I184" i="40"/>
  <c r="G183" i="40"/>
  <c r="I183" i="40"/>
  <c r="G181" i="40"/>
  <c r="I181" i="40"/>
  <c r="G180" i="40"/>
  <c r="I180" i="40"/>
  <c r="G178" i="40"/>
  <c r="I178" i="40"/>
  <c r="G177" i="40"/>
  <c r="I177" i="40"/>
  <c r="G160" i="40"/>
  <c r="I160" i="40"/>
  <c r="G159" i="40"/>
  <c r="I159" i="40"/>
  <c r="G139" i="40"/>
  <c r="I139" i="40"/>
  <c r="G138" i="40"/>
  <c r="I138" i="40"/>
  <c r="G76" i="40"/>
  <c r="I76" i="40"/>
  <c r="I74" i="40" s="1"/>
  <c r="G31" i="40"/>
  <c r="I31" i="40"/>
  <c r="I29" i="40" s="1"/>
  <c r="I27" i="40" s="1"/>
  <c r="G26" i="40"/>
  <c r="I26" i="40"/>
  <c r="I25" i="40" s="1"/>
  <c r="G24" i="40"/>
  <c r="I24" i="40"/>
  <c r="I23" i="40" s="1"/>
  <c r="G72" i="40"/>
  <c r="I72" i="40"/>
  <c r="I70" i="40" s="1"/>
  <c r="I65" i="40" s="1"/>
  <c r="I22" i="40"/>
  <c r="I21" i="40" s="1"/>
  <c r="G20" i="40"/>
  <c r="I20" i="40"/>
  <c r="I19" i="40" s="1"/>
  <c r="I18" i="40" s="1"/>
  <c r="G138" i="41"/>
  <c r="H138" i="41" s="1"/>
  <c r="G568" i="40"/>
  <c r="I568" i="40"/>
  <c r="I565" i="40" s="1"/>
  <c r="G567" i="40"/>
  <c r="I567" i="40"/>
  <c r="I564" i="40" s="1"/>
  <c r="I114" i="40" s="1"/>
  <c r="G549" i="40"/>
  <c r="I549" i="40"/>
  <c r="I540" i="40" s="1"/>
  <c r="I528" i="40" s="1"/>
  <c r="G38" i="40"/>
  <c r="I38" i="40"/>
  <c r="G198" i="40"/>
  <c r="I198" i="40"/>
  <c r="E475" i="41"/>
  <c r="G475" i="41" s="1"/>
  <c r="H475" i="41" s="1"/>
  <c r="F169" i="40"/>
  <c r="I169" i="40" s="1"/>
  <c r="E163" i="40"/>
  <c r="G169" i="41"/>
  <c r="H169" i="41" s="1"/>
  <c r="E163" i="41"/>
  <c r="G168" i="41"/>
  <c r="H168" i="41" s="1"/>
  <c r="E162" i="41"/>
  <c r="F168" i="40"/>
  <c r="I168" i="40" s="1"/>
  <c r="I162" i="40" s="1"/>
  <c r="E162" i="40"/>
  <c r="F475" i="40"/>
  <c r="G475" i="40" s="1"/>
  <c r="F474" i="40"/>
  <c r="G474" i="40" s="1"/>
  <c r="F56" i="40"/>
  <c r="I56" i="40" s="1"/>
  <c r="I55" i="40" s="1"/>
  <c r="I52" i="40" s="1"/>
  <c r="E55" i="40"/>
  <c r="E55" i="41"/>
  <c r="G55" i="41" s="1"/>
  <c r="H55" i="41" s="1"/>
  <c r="E631" i="41"/>
  <c r="E630" i="41"/>
  <c r="D631" i="41"/>
  <c r="D630" i="41"/>
  <c r="E622" i="41"/>
  <c r="E621" i="41"/>
  <c r="D622" i="41"/>
  <c r="D621" i="41"/>
  <c r="E604" i="41"/>
  <c r="G604" i="41" s="1"/>
  <c r="H604" i="41" s="1"/>
  <c r="E603" i="41"/>
  <c r="D603" i="41"/>
  <c r="D592" i="41"/>
  <c r="E576" i="41"/>
  <c r="D577" i="41"/>
  <c r="D576" i="41"/>
  <c r="D573" i="41" s="1"/>
  <c r="D570" i="41" s="1"/>
  <c r="E565" i="41"/>
  <c r="E564" i="41"/>
  <c r="D565" i="41"/>
  <c r="D115" i="41" s="1"/>
  <c r="D564" i="41"/>
  <c r="D114" i="41" s="1"/>
  <c r="D553" i="41"/>
  <c r="D112" i="41" s="1"/>
  <c r="D552" i="41"/>
  <c r="D111" i="41" s="1"/>
  <c r="E541" i="41"/>
  <c r="E540" i="41"/>
  <c r="D541" i="41"/>
  <c r="D529" i="41" s="1"/>
  <c r="D540" i="41"/>
  <c r="D528" i="41" s="1"/>
  <c r="E496" i="41"/>
  <c r="E495" i="41"/>
  <c r="D496" i="41"/>
  <c r="D493" i="41" s="1"/>
  <c r="D495" i="41"/>
  <c r="D492" i="41" s="1"/>
  <c r="D457" i="41"/>
  <c r="D456" i="41"/>
  <c r="D109" i="41"/>
  <c r="D108" i="41"/>
  <c r="D427" i="41"/>
  <c r="D426" i="41"/>
  <c r="E418" i="41"/>
  <c r="D418" i="41"/>
  <c r="D417" i="41"/>
  <c r="E405" i="41"/>
  <c r="E406" i="41"/>
  <c r="D406" i="41"/>
  <c r="D405" i="41"/>
  <c r="E397" i="41"/>
  <c r="E396" i="41"/>
  <c r="D397" i="41"/>
  <c r="D396" i="41"/>
  <c r="E388" i="41"/>
  <c r="D388" i="41"/>
  <c r="E387" i="41"/>
  <c r="D387" i="41"/>
  <c r="D376" i="41"/>
  <c r="D375" i="41"/>
  <c r="E367" i="41"/>
  <c r="E366" i="41"/>
  <c r="D367" i="41"/>
  <c r="D366" i="41"/>
  <c r="D340" i="41"/>
  <c r="D337" i="41" s="1"/>
  <c r="D339" i="41"/>
  <c r="D336" i="41" s="1"/>
  <c r="D316" i="41"/>
  <c r="D315" i="41"/>
  <c r="E307" i="41"/>
  <c r="G307" i="41" s="1"/>
  <c r="H307" i="41" s="1"/>
  <c r="E306" i="41"/>
  <c r="G306" i="41" s="1"/>
  <c r="H306" i="41" s="1"/>
  <c r="D274" i="41"/>
  <c r="D273" i="41"/>
  <c r="D262" i="41"/>
  <c r="D261" i="41"/>
  <c r="D247" i="41"/>
  <c r="D246" i="41"/>
  <c r="E241" i="41"/>
  <c r="E240" i="41"/>
  <c r="D241" i="41"/>
  <c r="D240" i="41"/>
  <c r="D205" i="41"/>
  <c r="D204" i="41"/>
  <c r="D175" i="41"/>
  <c r="D174" i="41"/>
  <c r="D136" i="41"/>
  <c r="D135" i="41"/>
  <c r="E82" i="41"/>
  <c r="D82" i="41"/>
  <c r="E78" i="41"/>
  <c r="D78" i="41"/>
  <c r="E74" i="41"/>
  <c r="D74" i="41"/>
  <c r="E70" i="41"/>
  <c r="D70" i="41"/>
  <c r="D66" i="41"/>
  <c r="E53" i="41"/>
  <c r="D53" i="41"/>
  <c r="D52" i="41" s="1"/>
  <c r="D46" i="41"/>
  <c r="E29" i="41"/>
  <c r="D29" i="41"/>
  <c r="E25" i="41"/>
  <c r="D25" i="41"/>
  <c r="E23" i="41"/>
  <c r="D23" i="41"/>
  <c r="E21" i="41"/>
  <c r="D21" i="41"/>
  <c r="E19" i="41"/>
  <c r="D19" i="41"/>
  <c r="E631" i="40"/>
  <c r="E628" i="40" s="1"/>
  <c r="F631" i="40"/>
  <c r="G631" i="40" s="1"/>
  <c r="F630" i="40"/>
  <c r="G630" i="40" s="1"/>
  <c r="E630" i="40"/>
  <c r="E627" i="40" s="1"/>
  <c r="F622" i="40"/>
  <c r="E622" i="40"/>
  <c r="E619" i="40" s="1"/>
  <c r="F621" i="40"/>
  <c r="G621" i="40" s="1"/>
  <c r="E621" i="40"/>
  <c r="E618" i="40" s="1"/>
  <c r="F604" i="40"/>
  <c r="G604" i="40" s="1"/>
  <c r="E604" i="40"/>
  <c r="F603" i="40"/>
  <c r="G603" i="40" s="1"/>
  <c r="E603" i="40"/>
  <c r="G595" i="40"/>
  <c r="E592" i="40"/>
  <c r="E591" i="40"/>
  <c r="E583" i="40"/>
  <c r="E577" i="40" s="1"/>
  <c r="E574" i="40" s="1"/>
  <c r="E571" i="40" s="1"/>
  <c r="E582" i="40"/>
  <c r="E576" i="40" s="1"/>
  <c r="E573" i="40" s="1"/>
  <c r="E570" i="40" s="1"/>
  <c r="F577" i="40"/>
  <c r="F576" i="40"/>
  <c r="G576" i="40" s="1"/>
  <c r="F565" i="40"/>
  <c r="E565" i="40"/>
  <c r="E115" i="40" s="1"/>
  <c r="F564" i="40"/>
  <c r="G564" i="40" s="1"/>
  <c r="E564" i="40"/>
  <c r="E114" i="40" s="1"/>
  <c r="E559" i="40"/>
  <c r="E553" i="40" s="1"/>
  <c r="E112" i="40" s="1"/>
  <c r="E558" i="40"/>
  <c r="E552" i="40" s="1"/>
  <c r="E111" i="40" s="1"/>
  <c r="F553" i="40"/>
  <c r="F552" i="40"/>
  <c r="E541" i="40"/>
  <c r="E529" i="40" s="1"/>
  <c r="F541" i="40"/>
  <c r="F540" i="40"/>
  <c r="E540" i="40"/>
  <c r="E528" i="40" s="1"/>
  <c r="F496" i="40"/>
  <c r="E496" i="40"/>
  <c r="E493" i="40" s="1"/>
  <c r="F495" i="40"/>
  <c r="E495" i="40"/>
  <c r="E492" i="40" s="1"/>
  <c r="E456" i="40"/>
  <c r="E453" i="40" s="1"/>
  <c r="E450" i="40" s="1"/>
  <c r="E457" i="40"/>
  <c r="E454" i="40" s="1"/>
  <c r="E451" i="40" s="1"/>
  <c r="F457" i="40"/>
  <c r="G457" i="40" s="1"/>
  <c r="F456" i="40"/>
  <c r="G456" i="40" s="1"/>
  <c r="E109" i="40"/>
  <c r="E108" i="40"/>
  <c r="F427" i="40"/>
  <c r="G427" i="40" s="1"/>
  <c r="E427" i="40"/>
  <c r="F426" i="40"/>
  <c r="G426" i="40" s="1"/>
  <c r="E426" i="40"/>
  <c r="E417" i="40"/>
  <c r="F418" i="40"/>
  <c r="G418" i="40" s="1"/>
  <c r="E418" i="40"/>
  <c r="F417" i="40"/>
  <c r="G417" i="40" s="1"/>
  <c r="E405" i="40"/>
  <c r="E406" i="40"/>
  <c r="F406" i="40"/>
  <c r="G406" i="40" s="1"/>
  <c r="F405" i="40"/>
  <c r="G405" i="40" s="1"/>
  <c r="E403" i="40"/>
  <c r="E402" i="40"/>
  <c r="E400" i="40"/>
  <c r="E399" i="40"/>
  <c r="F397" i="40"/>
  <c r="G397" i="40" s="1"/>
  <c r="F396" i="40"/>
  <c r="G396" i="40" s="1"/>
  <c r="E388" i="40"/>
  <c r="F388" i="40"/>
  <c r="G388" i="40" s="1"/>
  <c r="F387" i="40"/>
  <c r="G387" i="40" s="1"/>
  <c r="E387" i="40"/>
  <c r="E385" i="40"/>
  <c r="E384" i="40"/>
  <c r="E379" i="40"/>
  <c r="E378" i="40"/>
  <c r="F376" i="40"/>
  <c r="G376" i="40" s="1"/>
  <c r="F375" i="40"/>
  <c r="G375" i="40" s="1"/>
  <c r="E370" i="40"/>
  <c r="E367" i="40" s="1"/>
  <c r="E364" i="40" s="1"/>
  <c r="E103" i="40" s="1"/>
  <c r="E369" i="40"/>
  <c r="E366" i="40" s="1"/>
  <c r="E363" i="40" s="1"/>
  <c r="E102" i="40" s="1"/>
  <c r="F367" i="40"/>
  <c r="G367" i="40" s="1"/>
  <c r="F366" i="40"/>
  <c r="G366" i="40" s="1"/>
  <c r="E315" i="40"/>
  <c r="F316" i="40"/>
  <c r="G316" i="40" s="1"/>
  <c r="E316" i="40"/>
  <c r="F315" i="40"/>
  <c r="G315" i="40" s="1"/>
  <c r="F307" i="40"/>
  <c r="G307" i="40" s="1"/>
  <c r="E307" i="40"/>
  <c r="F306" i="40"/>
  <c r="G306" i="40" s="1"/>
  <c r="E306" i="40"/>
  <c r="E274" i="40"/>
  <c r="E273" i="40"/>
  <c r="F274" i="40"/>
  <c r="G274" i="40" s="1"/>
  <c r="F273" i="40"/>
  <c r="G273" i="40" s="1"/>
  <c r="E261" i="40"/>
  <c r="E262" i="40"/>
  <c r="F262" i="40"/>
  <c r="G262" i="40" s="1"/>
  <c r="F261" i="40"/>
  <c r="G261" i="40" s="1"/>
  <c r="E246" i="40"/>
  <c r="E247" i="40"/>
  <c r="F247" i="40"/>
  <c r="G247" i="40" s="1"/>
  <c r="F246" i="40"/>
  <c r="G246" i="40" s="1"/>
  <c r="E241" i="40"/>
  <c r="E240" i="40"/>
  <c r="F241" i="40"/>
  <c r="G241" i="40" s="1"/>
  <c r="F240" i="40"/>
  <c r="G240" i="40" s="1"/>
  <c r="E204" i="40"/>
  <c r="E205" i="40"/>
  <c r="F205" i="40"/>
  <c r="G205" i="40" s="1"/>
  <c r="F204" i="40"/>
  <c r="G204" i="40" s="1"/>
  <c r="E174" i="40"/>
  <c r="E175" i="40"/>
  <c r="F175" i="40"/>
  <c r="G175" i="40" s="1"/>
  <c r="F174" i="40"/>
  <c r="G174" i="40" s="1"/>
  <c r="E135" i="40"/>
  <c r="E136" i="40"/>
  <c r="F136" i="40"/>
  <c r="G136" i="40" s="1"/>
  <c r="F135" i="40"/>
  <c r="G135" i="40" s="1"/>
  <c r="F78" i="40"/>
  <c r="G78" i="40" s="1"/>
  <c r="E78" i="40"/>
  <c r="E77" i="40"/>
  <c r="E75" i="40"/>
  <c r="F74" i="40"/>
  <c r="G74" i="40" s="1"/>
  <c r="E73" i="40"/>
  <c r="E70" i="40" s="1"/>
  <c r="F70" i="40"/>
  <c r="G70" i="40" s="1"/>
  <c r="E69" i="40"/>
  <c r="F53" i="40"/>
  <c r="E53" i="40"/>
  <c r="E46" i="40"/>
  <c r="F46" i="40"/>
  <c r="E29" i="40"/>
  <c r="E27" i="40" s="1"/>
  <c r="F29" i="40"/>
  <c r="G29" i="40" s="1"/>
  <c r="F25" i="40"/>
  <c r="G25" i="40" s="1"/>
  <c r="E25" i="40"/>
  <c r="E23" i="40"/>
  <c r="F23" i="40"/>
  <c r="G23" i="40" s="1"/>
  <c r="E21" i="40"/>
  <c r="F21" i="40"/>
  <c r="G21" i="40" s="1"/>
  <c r="F19" i="40"/>
  <c r="E19" i="40"/>
  <c r="E18" i="40" s="1"/>
  <c r="G441" i="40" l="1"/>
  <c r="I175" i="40"/>
  <c r="I316" i="40"/>
  <c r="I439" i="40"/>
  <c r="I109" i="40" s="1"/>
  <c r="I438" i="40"/>
  <c r="I108" i="40" s="1"/>
  <c r="I553" i="40"/>
  <c r="I112" i="40" s="1"/>
  <c r="E52" i="41"/>
  <c r="I163" i="40"/>
  <c r="I106" i="40"/>
  <c r="I589" i="40"/>
  <c r="I136" i="40"/>
  <c r="I262" i="40"/>
  <c r="I246" i="40"/>
  <c r="I273" i="40"/>
  <c r="I453" i="40"/>
  <c r="I450" i="40" s="1"/>
  <c r="I46" i="40"/>
  <c r="I574" i="40"/>
  <c r="I571" i="40" s="1"/>
  <c r="I274" i="40"/>
  <c r="I588" i="40"/>
  <c r="E52" i="40"/>
  <c r="I135" i="40"/>
  <c r="I204" i="40"/>
  <c r="I261" i="40"/>
  <c r="I315" i="40"/>
  <c r="I573" i="40"/>
  <c r="I570" i="40" s="1"/>
  <c r="I457" i="40"/>
  <c r="I454" i="40" s="1"/>
  <c r="I451" i="40" s="1"/>
  <c r="I552" i="40"/>
  <c r="I111" i="40" s="1"/>
  <c r="G53" i="40"/>
  <c r="I247" i="40"/>
  <c r="I205" i="40"/>
  <c r="I174" i="40"/>
  <c r="I17" i="40"/>
  <c r="I16" i="40" s="1"/>
  <c r="I115" i="40"/>
  <c r="I105" i="40"/>
  <c r="G406" i="41"/>
  <c r="H406" i="41" s="1"/>
  <c r="G565" i="41"/>
  <c r="H565" i="41" s="1"/>
  <c r="G405" i="41"/>
  <c r="H405" i="41" s="1"/>
  <c r="G25" i="41"/>
  <c r="H25" i="41" s="1"/>
  <c r="G169" i="40"/>
  <c r="F163" i="40"/>
  <c r="G163" i="40" s="1"/>
  <c r="G168" i="40"/>
  <c r="F162" i="40"/>
  <c r="G162" i="40" s="1"/>
  <c r="E17" i="40"/>
  <c r="E16" i="40" s="1"/>
  <c r="G630" i="41"/>
  <c r="H630" i="41" s="1"/>
  <c r="G74" i="41"/>
  <c r="H74" i="41" s="1"/>
  <c r="G23" i="41"/>
  <c r="H23" i="41" s="1"/>
  <c r="G21" i="41"/>
  <c r="H21" i="41" s="1"/>
  <c r="E375" i="40"/>
  <c r="G82" i="41"/>
  <c r="H82" i="41" s="1"/>
  <c r="G496" i="41"/>
  <c r="H496" i="41" s="1"/>
  <c r="G564" i="41"/>
  <c r="H564" i="41" s="1"/>
  <c r="G388" i="41"/>
  <c r="H388" i="41" s="1"/>
  <c r="G603" i="41"/>
  <c r="H603" i="41" s="1"/>
  <c r="G240" i="41"/>
  <c r="H240" i="41" s="1"/>
  <c r="G366" i="41"/>
  <c r="H366" i="41" s="1"/>
  <c r="G631" i="41"/>
  <c r="H631" i="41" s="1"/>
  <c r="G162" i="41"/>
  <c r="H162" i="41" s="1"/>
  <c r="G241" i="41"/>
  <c r="H241" i="41" s="1"/>
  <c r="G367" i="41"/>
  <c r="H367" i="41" s="1"/>
  <c r="G576" i="41"/>
  <c r="H576" i="41" s="1"/>
  <c r="G78" i="41"/>
  <c r="H78" i="41" s="1"/>
  <c r="G396" i="41"/>
  <c r="H396" i="41" s="1"/>
  <c r="G418" i="41"/>
  <c r="H418" i="41" s="1"/>
  <c r="G53" i="41"/>
  <c r="H53" i="41" s="1"/>
  <c r="G397" i="41"/>
  <c r="H397" i="41" s="1"/>
  <c r="G495" i="41"/>
  <c r="H495" i="41" s="1"/>
  <c r="G621" i="41"/>
  <c r="H621" i="41" s="1"/>
  <c r="G594" i="41"/>
  <c r="H594" i="41" s="1"/>
  <c r="G622" i="41"/>
  <c r="H622" i="41" s="1"/>
  <c r="G387" i="41"/>
  <c r="H387" i="41" s="1"/>
  <c r="G595" i="41"/>
  <c r="H595" i="41" s="1"/>
  <c r="F18" i="40"/>
  <c r="G18" i="40" s="1"/>
  <c r="G19" i="40"/>
  <c r="F493" i="40"/>
  <c r="G493" i="40" s="1"/>
  <c r="G496" i="40"/>
  <c r="E528" i="41"/>
  <c r="G528" i="41" s="1"/>
  <c r="H528" i="41" s="1"/>
  <c r="G540" i="41"/>
  <c r="H540" i="41" s="1"/>
  <c r="E27" i="41"/>
  <c r="G29" i="41"/>
  <c r="H29" i="41" s="1"/>
  <c r="E529" i="41"/>
  <c r="G529" i="41" s="1"/>
  <c r="H529" i="41" s="1"/>
  <c r="G541" i="41"/>
  <c r="H541" i="41" s="1"/>
  <c r="F591" i="40"/>
  <c r="G591" i="40" s="1"/>
  <c r="G594" i="40"/>
  <c r="F115" i="40"/>
  <c r="G115" i="40" s="1"/>
  <c r="G565" i="40"/>
  <c r="F619" i="40"/>
  <c r="G619" i="40" s="1"/>
  <c r="G622" i="40"/>
  <c r="F55" i="40"/>
  <c r="G55" i="40" s="1"/>
  <c r="G56" i="40"/>
  <c r="E18" i="41"/>
  <c r="G19" i="41"/>
  <c r="H19" i="41" s="1"/>
  <c r="F108" i="40"/>
  <c r="G108" i="40" s="1"/>
  <c r="G438" i="40"/>
  <c r="F492" i="40"/>
  <c r="G492" i="40" s="1"/>
  <c r="G495" i="40"/>
  <c r="F574" i="40"/>
  <c r="G574" i="40" s="1"/>
  <c r="G577" i="40"/>
  <c r="F109" i="40"/>
  <c r="G109" i="40" s="1"/>
  <c r="G439" i="40"/>
  <c r="G70" i="41"/>
  <c r="H70" i="41" s="1"/>
  <c r="F529" i="40"/>
  <c r="G529" i="40" s="1"/>
  <c r="G541" i="40"/>
  <c r="F528" i="40"/>
  <c r="G528" i="40" s="1"/>
  <c r="G540" i="40"/>
  <c r="G46" i="40"/>
  <c r="F112" i="40"/>
  <c r="G112" i="40" s="1"/>
  <c r="G553" i="40"/>
  <c r="F111" i="40"/>
  <c r="G111" i="40" s="1"/>
  <c r="G552" i="40"/>
  <c r="D489" i="41"/>
  <c r="D490" i="41"/>
  <c r="E490" i="40"/>
  <c r="E487" i="40" s="1"/>
  <c r="E489" i="40"/>
  <c r="E486" i="40" s="1"/>
  <c r="E376" i="40"/>
  <c r="F364" i="40"/>
  <c r="G364" i="40" s="1"/>
  <c r="D65" i="41"/>
  <c r="E397" i="40"/>
  <c r="F363" i="40"/>
  <c r="G363" i="40" s="1"/>
  <c r="F27" i="40"/>
  <c r="G27" i="40" s="1"/>
  <c r="E74" i="40"/>
  <c r="E396" i="40"/>
  <c r="E616" i="40"/>
  <c r="E613" i="40" s="1"/>
  <c r="E610" i="40" s="1"/>
  <c r="E591" i="41"/>
  <c r="E618" i="41"/>
  <c r="E114" i="41"/>
  <c r="G114" i="41" s="1"/>
  <c r="H114" i="41" s="1"/>
  <c r="E592" i="41"/>
  <c r="G592" i="41" s="1"/>
  <c r="H592" i="41" s="1"/>
  <c r="E619" i="41"/>
  <c r="E363" i="41"/>
  <c r="E364" i="41"/>
  <c r="E627" i="41"/>
  <c r="E115" i="41"/>
  <c r="G115" i="41" s="1"/>
  <c r="H115" i="41" s="1"/>
  <c r="E492" i="41"/>
  <c r="G492" i="41" s="1"/>
  <c r="H492" i="41" s="1"/>
  <c r="E628" i="41"/>
  <c r="E493" i="41"/>
  <c r="G493" i="41" s="1"/>
  <c r="H493" i="41" s="1"/>
  <c r="E41" i="40"/>
  <c r="E41" i="41"/>
  <c r="G41" i="41" s="1"/>
  <c r="H41" i="41" s="1"/>
  <c r="F114" i="40"/>
  <c r="G114" i="40" s="1"/>
  <c r="F592" i="40"/>
  <c r="G592" i="40" s="1"/>
  <c r="F573" i="40"/>
  <c r="G573" i="40" s="1"/>
  <c r="E577" i="41"/>
  <c r="G577" i="41" s="1"/>
  <c r="H577" i="41" s="1"/>
  <c r="E553" i="41"/>
  <c r="G553" i="41" s="1"/>
  <c r="H553" i="41" s="1"/>
  <c r="E135" i="41"/>
  <c r="G135" i="41" s="1"/>
  <c r="H135" i="41" s="1"/>
  <c r="E456" i="41"/>
  <c r="G456" i="41" s="1"/>
  <c r="H456" i="41" s="1"/>
  <c r="E315" i="41"/>
  <c r="G315" i="41" s="1"/>
  <c r="H315" i="41" s="1"/>
  <c r="E375" i="41"/>
  <c r="G375" i="41" s="1"/>
  <c r="H375" i="41" s="1"/>
  <c r="E457" i="41"/>
  <c r="G457" i="41" s="1"/>
  <c r="H457" i="41" s="1"/>
  <c r="E247" i="41"/>
  <c r="G247" i="41" s="1"/>
  <c r="H247" i="41" s="1"/>
  <c r="E573" i="41"/>
  <c r="G573" i="41" s="1"/>
  <c r="H573" i="41" s="1"/>
  <c r="E66" i="41"/>
  <c r="E261" i="41"/>
  <c r="G261" i="41" s="1"/>
  <c r="H261" i="41" s="1"/>
  <c r="E273" i="41"/>
  <c r="G273" i="41" s="1"/>
  <c r="H273" i="41" s="1"/>
  <c r="E339" i="41"/>
  <c r="G339" i="41" s="1"/>
  <c r="H339" i="41" s="1"/>
  <c r="G439" i="41"/>
  <c r="H439" i="41" s="1"/>
  <c r="E262" i="41"/>
  <c r="G262" i="41" s="1"/>
  <c r="H262" i="41" s="1"/>
  <c r="E274" i="41"/>
  <c r="G274" i="41" s="1"/>
  <c r="H274" i="41" s="1"/>
  <c r="E426" i="41"/>
  <c r="G426" i="41" s="1"/>
  <c r="H426" i="41" s="1"/>
  <c r="D133" i="41"/>
  <c r="D202" i="41"/>
  <c r="D372" i="41"/>
  <c r="E204" i="41"/>
  <c r="G204" i="41" s="1"/>
  <c r="H204" i="41" s="1"/>
  <c r="E246" i="41"/>
  <c r="G246" i="41" s="1"/>
  <c r="H246" i="41" s="1"/>
  <c r="D363" i="41"/>
  <c r="D373" i="41"/>
  <c r="E417" i="41"/>
  <c r="G417" i="41" s="1"/>
  <c r="H417" i="41" s="1"/>
  <c r="E427" i="41"/>
  <c r="G427" i="41" s="1"/>
  <c r="H427" i="41" s="1"/>
  <c r="D589" i="41"/>
  <c r="E136" i="41"/>
  <c r="G136" i="41" s="1"/>
  <c r="H136" i="41" s="1"/>
  <c r="E174" i="41"/>
  <c r="G174" i="41" s="1"/>
  <c r="H174" i="41" s="1"/>
  <c r="D591" i="41"/>
  <c r="D627" i="41"/>
  <c r="D18" i="41"/>
  <c r="E205" i="41"/>
  <c r="G205" i="41" s="1"/>
  <c r="H205" i="41" s="1"/>
  <c r="E340" i="41"/>
  <c r="D453" i="41"/>
  <c r="D450" i="41" s="1"/>
  <c r="D628" i="41"/>
  <c r="G163" i="41"/>
  <c r="H163" i="41" s="1"/>
  <c r="E175" i="41"/>
  <c r="G175" i="41" s="1"/>
  <c r="H175" i="41" s="1"/>
  <c r="D364" i="41"/>
  <c r="E376" i="41"/>
  <c r="G376" i="41" s="1"/>
  <c r="H376" i="41" s="1"/>
  <c r="D574" i="41"/>
  <c r="D619" i="41"/>
  <c r="D100" i="41" s="1"/>
  <c r="D39" i="41"/>
  <c r="D36" i="41" s="1"/>
  <c r="D132" i="41"/>
  <c r="D201" i="41"/>
  <c r="D454" i="41"/>
  <c r="D451" i="41" s="1"/>
  <c r="E552" i="41"/>
  <c r="G552" i="41" s="1"/>
  <c r="H552" i="41" s="1"/>
  <c r="D618" i="41"/>
  <c r="D99" i="41" s="1"/>
  <c r="D27" i="41"/>
  <c r="E46" i="41"/>
  <c r="G46" i="41" s="1"/>
  <c r="H46" i="41" s="1"/>
  <c r="G438" i="41"/>
  <c r="H438" i="41" s="1"/>
  <c r="E615" i="40"/>
  <c r="E612" i="40" s="1"/>
  <c r="E609" i="40" s="1"/>
  <c r="F618" i="40"/>
  <c r="G618" i="40" s="1"/>
  <c r="E588" i="40"/>
  <c r="E589" i="40"/>
  <c r="E118" i="40"/>
  <c r="E117" i="40"/>
  <c r="F373" i="40"/>
  <c r="G373" i="40" s="1"/>
  <c r="E202" i="40"/>
  <c r="E97" i="40" s="1"/>
  <c r="E201" i="40"/>
  <c r="E96" i="40" s="1"/>
  <c r="F201" i="40"/>
  <c r="E132" i="40"/>
  <c r="E93" i="40" s="1"/>
  <c r="E316" i="41"/>
  <c r="G316" i="41" s="1"/>
  <c r="H316" i="41" s="1"/>
  <c r="E133" i="40"/>
  <c r="F627" i="40"/>
  <c r="G627" i="40" s="1"/>
  <c r="F202" i="40"/>
  <c r="G202" i="40" s="1"/>
  <c r="F372" i="40"/>
  <c r="G372" i="40" s="1"/>
  <c r="F454" i="40"/>
  <c r="F628" i="40"/>
  <c r="G628" i="40" s="1"/>
  <c r="F453" i="40"/>
  <c r="I133" i="40" l="1"/>
  <c r="I94" i="40" s="1"/>
  <c r="I490" i="40"/>
  <c r="I487" i="40"/>
  <c r="I484" i="40" s="1"/>
  <c r="I118" i="40"/>
  <c r="I132" i="40"/>
  <c r="I93" i="40" s="1"/>
  <c r="I201" i="40"/>
  <c r="I96" i="40" s="1"/>
  <c r="I202" i="40"/>
  <c r="I97" i="40" s="1"/>
  <c r="I91" i="40" s="1"/>
  <c r="I489" i="40"/>
  <c r="I486" i="40" s="1"/>
  <c r="I483" i="40" s="1"/>
  <c r="F52" i="40"/>
  <c r="G52" i="40" s="1"/>
  <c r="I117" i="40"/>
  <c r="F133" i="40"/>
  <c r="F94" i="40" s="1"/>
  <c r="G94" i="40" s="1"/>
  <c r="F132" i="40"/>
  <c r="F93" i="40" s="1"/>
  <c r="G93" i="40" s="1"/>
  <c r="E17" i="41"/>
  <c r="E16" i="41" s="1"/>
  <c r="F588" i="40"/>
  <c r="G588" i="40" s="1"/>
  <c r="E372" i="40"/>
  <c r="E105" i="40" s="1"/>
  <c r="D129" i="41"/>
  <c r="D126" i="41" s="1"/>
  <c r="D123" i="41" s="1"/>
  <c r="D17" i="41"/>
  <c r="F571" i="40"/>
  <c r="G571" i="40" s="1"/>
  <c r="G627" i="41"/>
  <c r="H627" i="41" s="1"/>
  <c r="G591" i="41"/>
  <c r="H591" i="41" s="1"/>
  <c r="G18" i="41"/>
  <c r="H18" i="41" s="1"/>
  <c r="G364" i="41"/>
  <c r="H364" i="41" s="1"/>
  <c r="G363" i="41"/>
  <c r="H363" i="41" s="1"/>
  <c r="G619" i="41"/>
  <c r="H619" i="41" s="1"/>
  <c r="D94" i="41"/>
  <c r="D130" i="41"/>
  <c r="G628" i="41"/>
  <c r="H628" i="41" s="1"/>
  <c r="G27" i="41"/>
  <c r="H27" i="41" s="1"/>
  <c r="G52" i="41"/>
  <c r="H52" i="41" s="1"/>
  <c r="G618" i="41"/>
  <c r="H618" i="41" s="1"/>
  <c r="F489" i="40"/>
  <c r="G489" i="40" s="1"/>
  <c r="E65" i="41"/>
  <c r="G65" i="41" s="1"/>
  <c r="H65" i="41" s="1"/>
  <c r="G66" i="41"/>
  <c r="H66" i="41" s="1"/>
  <c r="E337" i="41"/>
  <c r="G337" i="41" s="1"/>
  <c r="H337" i="41" s="1"/>
  <c r="G340" i="41"/>
  <c r="H340" i="41" s="1"/>
  <c r="F490" i="40"/>
  <c r="G490" i="40" s="1"/>
  <c r="F451" i="40"/>
  <c r="G451" i="40" s="1"/>
  <c r="G454" i="40"/>
  <c r="F450" i="40"/>
  <c r="G450" i="40" s="1"/>
  <c r="G453" i="40"/>
  <c r="F96" i="40"/>
  <c r="G96" i="40" s="1"/>
  <c r="G201" i="40"/>
  <c r="E336" i="41"/>
  <c r="E490" i="41"/>
  <c r="G490" i="41" s="1"/>
  <c r="H490" i="41" s="1"/>
  <c r="E489" i="41"/>
  <c r="G489" i="41" s="1"/>
  <c r="H489" i="41" s="1"/>
  <c r="E373" i="40"/>
  <c r="E106" i="40" s="1"/>
  <c r="F103" i="40"/>
  <c r="G103" i="40" s="1"/>
  <c r="F17" i="40"/>
  <c r="F102" i="40"/>
  <c r="G102" i="40" s="1"/>
  <c r="E39" i="41"/>
  <c r="E103" i="41"/>
  <c r="E616" i="41"/>
  <c r="E108" i="41"/>
  <c r="G108" i="41" s="1"/>
  <c r="H108" i="41" s="1"/>
  <c r="E102" i="41"/>
  <c r="E615" i="41"/>
  <c r="F41" i="40"/>
  <c r="E39" i="40"/>
  <c r="E36" i="40" s="1"/>
  <c r="E35" i="40" s="1"/>
  <c r="E112" i="41"/>
  <c r="G112" i="41" s="1"/>
  <c r="H112" i="41" s="1"/>
  <c r="F589" i="40"/>
  <c r="G589" i="40" s="1"/>
  <c r="E589" i="41"/>
  <c r="G589" i="41" s="1"/>
  <c r="H589" i="41" s="1"/>
  <c r="E109" i="41"/>
  <c r="G109" i="41" s="1"/>
  <c r="H109" i="41" s="1"/>
  <c r="E111" i="41"/>
  <c r="G111" i="41" s="1"/>
  <c r="H111" i="41" s="1"/>
  <c r="E588" i="41"/>
  <c r="E574" i="41"/>
  <c r="G574" i="41" s="1"/>
  <c r="H574" i="41" s="1"/>
  <c r="F570" i="40"/>
  <c r="G570" i="40" s="1"/>
  <c r="E570" i="41"/>
  <c r="G570" i="41" s="1"/>
  <c r="H570" i="41" s="1"/>
  <c r="E454" i="41"/>
  <c r="E453" i="41"/>
  <c r="E132" i="41"/>
  <c r="E202" i="41"/>
  <c r="G202" i="41" s="1"/>
  <c r="H202" i="41" s="1"/>
  <c r="E201" i="41"/>
  <c r="G201" i="41" s="1"/>
  <c r="H201" i="41" s="1"/>
  <c r="E133" i="41"/>
  <c r="G133" i="41" s="1"/>
  <c r="H133" i="41" s="1"/>
  <c r="E372" i="41"/>
  <c r="G372" i="41" s="1"/>
  <c r="H372" i="41" s="1"/>
  <c r="D105" i="41"/>
  <c r="E373" i="41"/>
  <c r="G373" i="41" s="1"/>
  <c r="H373" i="41" s="1"/>
  <c r="D35" i="41"/>
  <c r="D106" i="41"/>
  <c r="D571" i="41"/>
  <c r="D102" i="41"/>
  <c r="D97" i="41"/>
  <c r="D616" i="41"/>
  <c r="D615" i="41"/>
  <c r="D93" i="41"/>
  <c r="D103" i="41"/>
  <c r="D96" i="41"/>
  <c r="D588" i="41"/>
  <c r="E484" i="40"/>
  <c r="E483" i="40"/>
  <c r="F106" i="40"/>
  <c r="G106" i="40" s="1"/>
  <c r="F616" i="40"/>
  <c r="G616" i="40" s="1"/>
  <c r="F615" i="40"/>
  <c r="G615" i="40" s="1"/>
  <c r="F105" i="40"/>
  <c r="G105" i="40" s="1"/>
  <c r="F97" i="40"/>
  <c r="G97" i="40" s="1"/>
  <c r="E94" i="40"/>
  <c r="I88" i="40" l="1"/>
  <c r="I130" i="40"/>
  <c r="I127" i="40" s="1"/>
  <c r="I124" i="40" s="1"/>
  <c r="I121" i="40" s="1"/>
  <c r="I129" i="40"/>
  <c r="I126" i="40" s="1"/>
  <c r="I123" i="40" s="1"/>
  <c r="I120" i="40" s="1"/>
  <c r="I90" i="40"/>
  <c r="I87" i="40" s="1"/>
  <c r="G41" i="40"/>
  <c r="I41" i="40"/>
  <c r="I39" i="40" s="1"/>
  <c r="I36" i="40" s="1"/>
  <c r="I35" i="40" s="1"/>
  <c r="I34" i="40" s="1"/>
  <c r="I15" i="40" s="1"/>
  <c r="G133" i="40"/>
  <c r="G17" i="41"/>
  <c r="H17" i="41" s="1"/>
  <c r="G132" i="40"/>
  <c r="D90" i="41"/>
  <c r="D91" i="41"/>
  <c r="G616" i="41"/>
  <c r="H616" i="41" s="1"/>
  <c r="G103" i="41"/>
  <c r="H103" i="41" s="1"/>
  <c r="G588" i="41"/>
  <c r="H588" i="41" s="1"/>
  <c r="G615" i="41"/>
  <c r="H615" i="41" s="1"/>
  <c r="G102" i="41"/>
  <c r="H102" i="41" s="1"/>
  <c r="E100" i="41"/>
  <c r="G100" i="41" s="1"/>
  <c r="H100" i="41" s="1"/>
  <c r="F487" i="40"/>
  <c r="G487" i="40" s="1"/>
  <c r="E99" i="41"/>
  <c r="G99" i="41" s="1"/>
  <c r="H99" i="41" s="1"/>
  <c r="G336" i="41"/>
  <c r="H336" i="41" s="1"/>
  <c r="E93" i="41"/>
  <c r="G93" i="41" s="1"/>
  <c r="H93" i="41" s="1"/>
  <c r="G132" i="41"/>
  <c r="H132" i="41" s="1"/>
  <c r="E36" i="41"/>
  <c r="G39" i="41"/>
  <c r="H39" i="41" s="1"/>
  <c r="F16" i="40"/>
  <c r="G16" i="40" s="1"/>
  <c r="G17" i="40"/>
  <c r="E451" i="41"/>
  <c r="G451" i="41" s="1"/>
  <c r="H451" i="41" s="1"/>
  <c r="G454" i="41"/>
  <c r="H454" i="41" s="1"/>
  <c r="E450" i="41"/>
  <c r="G450" i="41" s="1"/>
  <c r="H450" i="41" s="1"/>
  <c r="G453" i="41"/>
  <c r="H453" i="41" s="1"/>
  <c r="D34" i="41"/>
  <c r="E486" i="41"/>
  <c r="E613" i="41"/>
  <c r="F39" i="40"/>
  <c r="G39" i="40" s="1"/>
  <c r="E612" i="41"/>
  <c r="D16" i="41"/>
  <c r="I16" i="41" s="1"/>
  <c r="E571" i="41"/>
  <c r="G571" i="41" s="1"/>
  <c r="H571" i="41" s="1"/>
  <c r="E106" i="41"/>
  <c r="G106" i="41" s="1"/>
  <c r="H106" i="41" s="1"/>
  <c r="E105" i="41"/>
  <c r="G105" i="41" s="1"/>
  <c r="H105" i="41" s="1"/>
  <c r="E97" i="41"/>
  <c r="G97" i="41" s="1"/>
  <c r="H97" i="41" s="1"/>
  <c r="E96" i="41"/>
  <c r="G96" i="41" s="1"/>
  <c r="H96" i="41" s="1"/>
  <c r="E130" i="41"/>
  <c r="G130" i="41" s="1"/>
  <c r="H130" i="41" s="1"/>
  <c r="E129" i="41"/>
  <c r="G129" i="41" s="1"/>
  <c r="H129" i="41" s="1"/>
  <c r="E94" i="41"/>
  <c r="G94" i="41" s="1"/>
  <c r="H94" i="41" s="1"/>
  <c r="D613" i="41"/>
  <c r="D118" i="41"/>
  <c r="D117" i="41"/>
  <c r="D127" i="41"/>
  <c r="D124" i="41" s="1"/>
  <c r="D486" i="41"/>
  <c r="D487" i="41"/>
  <c r="D612" i="41"/>
  <c r="F613" i="40"/>
  <c r="G613" i="40" s="1"/>
  <c r="F612" i="40"/>
  <c r="G612" i="40" s="1"/>
  <c r="F118" i="40"/>
  <c r="G118" i="40" s="1"/>
  <c r="F117" i="40"/>
  <c r="G117" i="40" s="1"/>
  <c r="F486" i="40"/>
  <c r="G486" i="40" s="1"/>
  <c r="J15" i="40" l="1"/>
  <c r="J17" i="40" s="1"/>
  <c r="I635" i="40"/>
  <c r="G613" i="41"/>
  <c r="H613" i="41" s="1"/>
  <c r="D87" i="41"/>
  <c r="I88" i="41" s="1"/>
  <c r="F484" i="40"/>
  <c r="G484" i="40" s="1"/>
  <c r="G486" i="41"/>
  <c r="H486" i="41" s="1"/>
  <c r="G16" i="41"/>
  <c r="H16" i="41" s="1"/>
  <c r="G612" i="41"/>
  <c r="H612" i="41" s="1"/>
  <c r="D88" i="41"/>
  <c r="G36" i="41"/>
  <c r="H36" i="41" s="1"/>
  <c r="E35" i="41"/>
  <c r="G35" i="41" s="1"/>
  <c r="H35" i="41" s="1"/>
  <c r="F36" i="40"/>
  <c r="E487" i="41"/>
  <c r="G487" i="41" s="1"/>
  <c r="H487" i="41" s="1"/>
  <c r="E609" i="41"/>
  <c r="E610" i="41"/>
  <c r="E483" i="41"/>
  <c r="E118" i="41"/>
  <c r="G118" i="41" s="1"/>
  <c r="H118" i="41" s="1"/>
  <c r="E117" i="41"/>
  <c r="G117" i="41" s="1"/>
  <c r="H117" i="41" s="1"/>
  <c r="E90" i="41"/>
  <c r="G90" i="41" s="1"/>
  <c r="H90" i="41" s="1"/>
  <c r="E91" i="41"/>
  <c r="G91" i="41" s="1"/>
  <c r="H91" i="41" s="1"/>
  <c r="E127" i="41"/>
  <c r="G127" i="41" s="1"/>
  <c r="H127" i="41" s="1"/>
  <c r="E126" i="41"/>
  <c r="G126" i="41" s="1"/>
  <c r="H126" i="41" s="1"/>
  <c r="D484" i="41"/>
  <c r="I35" i="41" s="1"/>
  <c r="D483" i="41"/>
  <c r="D609" i="41"/>
  <c r="D610" i="41"/>
  <c r="F610" i="40"/>
  <c r="G610" i="40" s="1"/>
  <c r="F609" i="40"/>
  <c r="G609" i="40" s="1"/>
  <c r="F483" i="40"/>
  <c r="G483" i="40" s="1"/>
  <c r="D120" i="41" l="1"/>
  <c r="G610" i="41"/>
  <c r="H610" i="41" s="1"/>
  <c r="G609" i="41"/>
  <c r="H609" i="41" s="1"/>
  <c r="G483" i="41"/>
  <c r="H483" i="41" s="1"/>
  <c r="D121" i="41"/>
  <c r="G36" i="40"/>
  <c r="F35" i="40"/>
  <c r="G35" i="40" s="1"/>
  <c r="E34" i="41"/>
  <c r="E484" i="41"/>
  <c r="G484" i="41" s="1"/>
  <c r="H484" i="41" s="1"/>
  <c r="E87" i="41"/>
  <c r="G87" i="41" s="1"/>
  <c r="H87" i="41" s="1"/>
  <c r="E88" i="41"/>
  <c r="E124" i="41"/>
  <c r="G124" i="41" s="1"/>
  <c r="H124" i="41" s="1"/>
  <c r="E123" i="41"/>
  <c r="G123" i="41" s="1"/>
  <c r="H123" i="41" s="1"/>
  <c r="D15" i="41"/>
  <c r="E15" i="41" l="1"/>
  <c r="E636" i="41" s="1"/>
  <c r="G34" i="41"/>
  <c r="H34" i="41" s="1"/>
  <c r="D636" i="41"/>
  <c r="I15" i="41"/>
  <c r="G88" i="41"/>
  <c r="H88" i="41" s="1"/>
  <c r="E121" i="41"/>
  <c r="G121" i="41" s="1"/>
  <c r="H121" i="41" s="1"/>
  <c r="E120" i="41"/>
  <c r="G120" i="41" s="1"/>
  <c r="H120" i="41" s="1"/>
  <c r="G15" i="41" l="1"/>
  <c r="H15" i="41" s="1"/>
  <c r="G636" i="41"/>
  <c r="H636" i="41" s="1"/>
  <c r="E82" i="40"/>
  <c r="F82" i="40"/>
  <c r="G82" i="40" s="1"/>
  <c r="F66" i="40" l="1"/>
  <c r="E66" i="40"/>
  <c r="E65" i="40" s="1"/>
  <c r="E34" i="40" s="1"/>
  <c r="E15" i="40" s="1"/>
  <c r="F65" i="40" l="1"/>
  <c r="G65" i="40" s="1"/>
  <c r="G66" i="40"/>
  <c r="F34" i="40" l="1"/>
  <c r="F15" i="40" s="1"/>
  <c r="G15" i="40" s="1"/>
  <c r="E339" i="40"/>
  <c r="E336" i="40" s="1"/>
  <c r="F339" i="40"/>
  <c r="G339" i="40" s="1"/>
  <c r="E340" i="40"/>
  <c r="E337" i="40" s="1"/>
  <c r="F340" i="40"/>
  <c r="G340" i="40" s="1"/>
  <c r="G34" i="40" l="1"/>
  <c r="F337" i="40"/>
  <c r="F130" i="40" s="1"/>
  <c r="G130" i="40" s="1"/>
  <c r="F336" i="40"/>
  <c r="G336" i="40" s="1"/>
  <c r="E99" i="40"/>
  <c r="E90" i="40" s="1"/>
  <c r="E87" i="40" s="1"/>
  <c r="E129" i="40"/>
  <c r="E126" i="40" s="1"/>
  <c r="E123" i="40" s="1"/>
  <c r="E120" i="40" s="1"/>
  <c r="E100" i="40"/>
  <c r="E91" i="40" s="1"/>
  <c r="E88" i="40" s="1"/>
  <c r="E635" i="40" s="1"/>
  <c r="E130" i="40"/>
  <c r="E127" i="40" s="1"/>
  <c r="E124" i="40" s="1"/>
  <c r="E121" i="40" s="1"/>
  <c r="F99" i="40" l="1"/>
  <c r="G99" i="40" s="1"/>
  <c r="F129" i="40"/>
  <c r="G129" i="40" s="1"/>
  <c r="F100" i="40"/>
  <c r="G337" i="40"/>
  <c r="F127" i="40"/>
  <c r="G127" i="40" s="1"/>
  <c r="F90" i="40" l="1"/>
  <c r="G90" i="40" s="1"/>
  <c r="F126" i="40"/>
  <c r="G126" i="40" s="1"/>
  <c r="G100" i="40"/>
  <c r="F91" i="40"/>
  <c r="F124" i="40"/>
  <c r="G124" i="40" s="1"/>
  <c r="F87" i="40" l="1"/>
  <c r="G87" i="40" s="1"/>
  <c r="F123" i="40"/>
  <c r="G123" i="40" s="1"/>
  <c r="G91" i="40"/>
  <c r="F88" i="40"/>
  <c r="F121" i="40"/>
  <c r="G121" i="40" s="1"/>
  <c r="F120" i="40" l="1"/>
  <c r="G120" i="40" s="1"/>
  <c r="G88" i="40"/>
  <c r="F635" i="40"/>
  <c r="G635" i="40" s="1"/>
</calcChain>
</file>

<file path=xl/sharedStrings.xml><?xml version="1.0" encoding="utf-8"?>
<sst xmlns="http://schemas.openxmlformats.org/spreadsheetml/2006/main" count="4221" uniqueCount="413">
  <si>
    <t>Cap Sub Parag</t>
  </si>
  <si>
    <t>Denumire indicator</t>
  </si>
  <si>
    <t>TOTAL VENITURI</t>
  </si>
  <si>
    <t>I. VENITURI CURENTE</t>
  </si>
  <si>
    <t>33 10</t>
  </si>
  <si>
    <t>33 10 08</t>
  </si>
  <si>
    <t>35 10</t>
  </si>
  <si>
    <t xml:space="preserve">35 10 50 </t>
  </si>
  <si>
    <t>36 10</t>
  </si>
  <si>
    <t>Diverse venituri</t>
  </si>
  <si>
    <t>36 10 50</t>
  </si>
  <si>
    <t xml:space="preserve">   Alte venituri, din care:</t>
  </si>
  <si>
    <t>42 10</t>
  </si>
  <si>
    <t>42 10 38</t>
  </si>
  <si>
    <t>Alte active fixe</t>
  </si>
  <si>
    <t>45 10</t>
  </si>
  <si>
    <t>45 10 15</t>
  </si>
  <si>
    <t>45 10 15 02</t>
  </si>
  <si>
    <t>Sume primite în contul plăţilor efectuate în anii anteriori</t>
  </si>
  <si>
    <t>45 10 16</t>
  </si>
  <si>
    <t>Sume primite în contul plăţilor efectuate în anul curent</t>
  </si>
  <si>
    <t>48 10</t>
  </si>
  <si>
    <t>48 10 01</t>
  </si>
  <si>
    <t>48 10 01 01</t>
  </si>
  <si>
    <t>48 10 11</t>
  </si>
  <si>
    <t>Instrumentul de Asistenţă pentru Preaderare (IPA II)</t>
  </si>
  <si>
    <t>48 10 11 03</t>
  </si>
  <si>
    <t>48 10 16</t>
  </si>
  <si>
    <t>48 10 16 03</t>
  </si>
  <si>
    <t>70 04 00</t>
  </si>
  <si>
    <t>TOTAL CHELTUIELI</t>
  </si>
  <si>
    <t>01</t>
  </si>
  <si>
    <t>CHELTUIELI CURENTE</t>
  </si>
  <si>
    <t>CHELTUIELI DE PERSONAL</t>
  </si>
  <si>
    <t>58</t>
  </si>
  <si>
    <t>59</t>
  </si>
  <si>
    <t>ALTE CHELTUIELI</t>
  </si>
  <si>
    <t>CHELTUIELI DE CAPITAL</t>
  </si>
  <si>
    <t>I. CHELTUIELI DIN SURSE PROPRII</t>
  </si>
  <si>
    <t>70 10</t>
  </si>
  <si>
    <t>10 01</t>
  </si>
  <si>
    <t>10 01 01</t>
  </si>
  <si>
    <t>10 01 06</t>
  </si>
  <si>
    <t>Alte sporuri</t>
  </si>
  <si>
    <t>10 01 12</t>
  </si>
  <si>
    <t>10 01 13</t>
  </si>
  <si>
    <t>10 01 14</t>
  </si>
  <si>
    <t>10 01 30</t>
  </si>
  <si>
    <t>10 02</t>
  </si>
  <si>
    <t>10 03</t>
  </si>
  <si>
    <t>10 03 01</t>
  </si>
  <si>
    <t>10 03 02</t>
  </si>
  <si>
    <t xml:space="preserve">Contribuţii pentru asigurări de şomaj </t>
  </si>
  <si>
    <t>10 03 03</t>
  </si>
  <si>
    <t>Contribuţii pentru asigurări sociale de sănătate</t>
  </si>
  <si>
    <t>10 03 04</t>
  </si>
  <si>
    <t>10 03 06</t>
  </si>
  <si>
    <t>20 01</t>
  </si>
  <si>
    <t>20 01 01</t>
  </si>
  <si>
    <t>Furnituri de birou</t>
  </si>
  <si>
    <t>20 01 02</t>
  </si>
  <si>
    <t>20 01 03</t>
  </si>
  <si>
    <t>20 01 04</t>
  </si>
  <si>
    <t>20 01 05</t>
  </si>
  <si>
    <t>20 01 06</t>
  </si>
  <si>
    <t>Piese de schimb</t>
  </si>
  <si>
    <t>20 01 07</t>
  </si>
  <si>
    <t>Transport</t>
  </si>
  <si>
    <t>20 01 08</t>
  </si>
  <si>
    <t>20 01 09</t>
  </si>
  <si>
    <t>20 01 30</t>
  </si>
  <si>
    <t>20 02 00</t>
  </si>
  <si>
    <t>20 03</t>
  </si>
  <si>
    <t>20 03 01</t>
  </si>
  <si>
    <t xml:space="preserve">20 04 </t>
  </si>
  <si>
    <t>Medicamente şi materiale sanitare</t>
  </si>
  <si>
    <t>20 04 01</t>
  </si>
  <si>
    <t>Medicamente</t>
  </si>
  <si>
    <t>20 04 02</t>
  </si>
  <si>
    <t>Materiale sanitare</t>
  </si>
  <si>
    <t>20 04 03</t>
  </si>
  <si>
    <t>Reactivi</t>
  </si>
  <si>
    <t>20 04 04</t>
  </si>
  <si>
    <t>20 05</t>
  </si>
  <si>
    <t>Bunuri de natura obiectelor de inventar</t>
  </si>
  <si>
    <t>20 05 01</t>
  </si>
  <si>
    <t>20 05 03</t>
  </si>
  <si>
    <t>20 05 30</t>
  </si>
  <si>
    <t>Alte obiecte de inventar</t>
  </si>
  <si>
    <t>20 06</t>
  </si>
  <si>
    <t>20 06 01</t>
  </si>
  <si>
    <t>20 06 02</t>
  </si>
  <si>
    <t>20 09 00</t>
  </si>
  <si>
    <t>Materiale de laborator</t>
  </si>
  <si>
    <t>20 11 00</t>
  </si>
  <si>
    <t>20 12 00</t>
  </si>
  <si>
    <t>20 13 00</t>
  </si>
  <si>
    <t>20 14 00</t>
  </si>
  <si>
    <t>20 16 00</t>
  </si>
  <si>
    <t>20 22 00</t>
  </si>
  <si>
    <t>20 23 00</t>
  </si>
  <si>
    <t>20 24</t>
  </si>
  <si>
    <t>20 24 02</t>
  </si>
  <si>
    <t>20 25 00</t>
  </si>
  <si>
    <t>20 30</t>
  </si>
  <si>
    <t>Alte cheltuieli</t>
  </si>
  <si>
    <t>20 30 01</t>
  </si>
  <si>
    <t>20 30 02</t>
  </si>
  <si>
    <t>20 30 03</t>
  </si>
  <si>
    <t>20 30 04</t>
  </si>
  <si>
    <t>Chirii</t>
  </si>
  <si>
    <t>20 30 09</t>
  </si>
  <si>
    <t>20 30 30</t>
  </si>
  <si>
    <t>56</t>
  </si>
  <si>
    <t>Cheltuieli neeligibile</t>
  </si>
  <si>
    <t>58 01</t>
  </si>
  <si>
    <t>58 01 01</t>
  </si>
  <si>
    <t>58 01 02</t>
  </si>
  <si>
    <t>58 01 03</t>
  </si>
  <si>
    <t>58 11</t>
  </si>
  <si>
    <t>Programe Instrumentul de Asistenţă pentru Preaderare (IPA II)</t>
  </si>
  <si>
    <t>58 11 01</t>
  </si>
  <si>
    <t>58 11 02</t>
  </si>
  <si>
    <t>58 16</t>
  </si>
  <si>
    <t>58 16 02</t>
  </si>
  <si>
    <t>58 16 03</t>
  </si>
  <si>
    <t>59 17</t>
  </si>
  <si>
    <t>70</t>
  </si>
  <si>
    <t xml:space="preserve">   CHELTUIELI DE CAPITAL</t>
  </si>
  <si>
    <t>71</t>
  </si>
  <si>
    <t>Active nefinanciare</t>
  </si>
  <si>
    <t>71 01</t>
  </si>
  <si>
    <t>Active fixe</t>
  </si>
  <si>
    <t>71 01 01</t>
  </si>
  <si>
    <t>Constructii</t>
  </si>
  <si>
    <t>71 01 02</t>
  </si>
  <si>
    <t>Masini, echipamente si mijloace de transport</t>
  </si>
  <si>
    <t>71 01 03</t>
  </si>
  <si>
    <t>Mobilier, aparatura birotica si alte active corporale</t>
  </si>
  <si>
    <t>71 01 30</t>
  </si>
  <si>
    <t>71 03</t>
  </si>
  <si>
    <t>II. CHELTUIELI DIN BUGETUL DE STAT, total din care:</t>
  </si>
  <si>
    <t>20</t>
  </si>
  <si>
    <t>58 03</t>
  </si>
  <si>
    <t>58 03 01</t>
  </si>
  <si>
    <t>58 03 02</t>
  </si>
  <si>
    <t>65</t>
  </si>
  <si>
    <t>65 01 00</t>
  </si>
  <si>
    <t>80 01 30</t>
  </si>
  <si>
    <t>80 10</t>
  </si>
  <si>
    <t>71.01.02</t>
  </si>
  <si>
    <t>III. CHELTUIELI DIN ALTE SURSE</t>
  </si>
  <si>
    <t>56.16</t>
  </si>
  <si>
    <t>Sume aferente Fondului de Solidaritate al Uniunii Europene</t>
  </si>
  <si>
    <t>56 16 02</t>
  </si>
  <si>
    <t>99 10</t>
  </si>
  <si>
    <t>Deficit*)</t>
  </si>
  <si>
    <t>Sector 01- Bugetul de Stat</t>
  </si>
  <si>
    <t>59 40</t>
  </si>
  <si>
    <t>Sume aferente persoanelor cu handicap neincadrate</t>
  </si>
  <si>
    <t>10 03 07</t>
  </si>
  <si>
    <t>Contributia asiguratorie pentru munca</t>
  </si>
  <si>
    <t>10 02 06</t>
  </si>
  <si>
    <t>Vouchere de vacanta</t>
  </si>
  <si>
    <t>10 03 05</t>
  </si>
  <si>
    <t>Prime de asigurare viata platite de angajator pentru angajati</t>
  </si>
  <si>
    <t>10 03 08</t>
  </si>
  <si>
    <t>Contributii platite de angajator in numele angajatului</t>
  </si>
  <si>
    <t>C2 VANZARI DE BUNURI SI SERVICII</t>
  </si>
  <si>
    <t>Venituri din prestari de servicii si alte activitati</t>
  </si>
  <si>
    <t xml:space="preserve">   Venituri din prestari de servicii</t>
  </si>
  <si>
    <t>Amenzi, penalitati si confiscari</t>
  </si>
  <si>
    <t xml:space="preserve">   Alte amenzi, penalitati si confiscari</t>
  </si>
  <si>
    <t>Prestari servicii pentru finantarea actiunilor in domeniul apelor (Hidrologie)</t>
  </si>
  <si>
    <t>Veniturile comisiilor teritoriale privind siguranta barajelor</t>
  </si>
  <si>
    <t>IV. SUBVENTII</t>
  </si>
  <si>
    <t>Subventii de la bugetul de stat</t>
  </si>
  <si>
    <t>Subventii de la bugetul de stat pentru institutii si servicii publice sau activitati finantate integral din venituri proprii</t>
  </si>
  <si>
    <t>Transferuri curente pentru prevenirea si combaterea inundatiilor (stoc de aparare)</t>
  </si>
  <si>
    <t>Credite externe pentru investitii (BDCE V)</t>
  </si>
  <si>
    <t>Alocatii bugetare pentru investitii</t>
  </si>
  <si>
    <t>Alte cheltuieli cu bunuri si servicii</t>
  </si>
  <si>
    <t xml:space="preserve">Subventii de la bugetul de stat catre institutii publice finantate partial sau integral din venituri proprii pentru proiecte finantate din FEN postaderare </t>
  </si>
  <si>
    <t>Sume primite de la UE/alti donatori în contul platilor efectuate si prefinantari</t>
  </si>
  <si>
    <t>Programe comunitare finantate in perioada 2007-2013</t>
  </si>
  <si>
    <t>Prefinantare</t>
  </si>
  <si>
    <t>Alte facilitati si instrumente postaderare</t>
  </si>
  <si>
    <t>Sume primite de la UE/alti donatori in contul platilor efectuate si prefinantari aferente cadrului financiar 2014-2020</t>
  </si>
  <si>
    <t>Fondul European de Dezvoltare Regionala (FEDR)</t>
  </si>
  <si>
    <t>I</t>
  </si>
  <si>
    <t>Credite de angajament</t>
  </si>
  <si>
    <t>II</t>
  </si>
  <si>
    <t>Credite bugetare</t>
  </si>
  <si>
    <t>BUNURI SI SERVICII</t>
  </si>
  <si>
    <t>PROIECTE CU FINANTARE DIN FONDURI EXTERNE NERAMBURSABILE (FEN) POSTADERARE</t>
  </si>
  <si>
    <t>PROIECTE CU FINANTARE DIN FONDURI EXTERNE NERAMBURSABILE AFERENTE CADRULUI  FINANCIAR 2014-2020</t>
  </si>
  <si>
    <t>CHELTUIELI AFERENTE PROGRAMELOR CU FINANTARE RAMBURSABILA</t>
  </si>
  <si>
    <t>Cap. Locuinte, servicii si dezvoltare publica</t>
  </si>
  <si>
    <t>Cheltuieli salariale in bani</t>
  </si>
  <si>
    <t>Salarii de baza</t>
  </si>
  <si>
    <t>Indemnizatii platite unor persoane din afara unitatii</t>
  </si>
  <si>
    <t>Indemnizatii de detasare</t>
  </si>
  <si>
    <t>Alte drepturi salariale in bani</t>
  </si>
  <si>
    <t>Cheltuieli salariale in natura</t>
  </si>
  <si>
    <t xml:space="preserve">   Contributii</t>
  </si>
  <si>
    <t xml:space="preserve">Contributii de asigurari sociale de stat </t>
  </si>
  <si>
    <t xml:space="preserve">Contributii pentru asigurari de accidente de munca si boli profesionale </t>
  </si>
  <si>
    <t xml:space="preserve">Contributii pentru concedii si indemnizatii </t>
  </si>
  <si>
    <t xml:space="preserve">   BUNURI SI SERVICII</t>
  </si>
  <si>
    <t>Bunuri si servicii</t>
  </si>
  <si>
    <t>Materiale pentru curatenie</t>
  </si>
  <si>
    <t>Incalzit, iluminat si forta motrica</t>
  </si>
  <si>
    <t>Apa, canal si salubritate</t>
  </si>
  <si>
    <t>Carburanti si lubrifianti</t>
  </si>
  <si>
    <t>Posta, telecomunicatii, radio, tv, internet</t>
  </si>
  <si>
    <t>Materiale si prestari de servicii cu caracter functional</t>
  </si>
  <si>
    <t>Alte bunuri si servicii pentru intretinere si functionare</t>
  </si>
  <si>
    <t>Reparatii curente</t>
  </si>
  <si>
    <t xml:space="preserve"> Hrana</t>
  </si>
  <si>
    <t>Hrana pentru oameni</t>
  </si>
  <si>
    <t>Dezinfectanti</t>
  </si>
  <si>
    <t>Uniforme si echipament</t>
  </si>
  <si>
    <t>Lenjerie si accesorii de pat</t>
  </si>
  <si>
    <t>Deplasari, detasari, transferari</t>
  </si>
  <si>
    <t xml:space="preserve">     Deplasari interne, detasari, transferari</t>
  </si>
  <si>
    <t xml:space="preserve">     Deplasari in strainatate</t>
  </si>
  <si>
    <t>Carti,  publicatii si materiale documentare</t>
  </si>
  <si>
    <t>Consultanta si expertiza</t>
  </si>
  <si>
    <t>Pregatire profesionala</t>
  </si>
  <si>
    <t>Protectia muncii</t>
  </si>
  <si>
    <t>Studii si cercetari</t>
  </si>
  <si>
    <t>Finantarea actiunilor din domeniul apelor</t>
  </si>
  <si>
    <t>Prevenirea si combaterea inundatiilor si ingheturilor</t>
  </si>
  <si>
    <t>Comisioane si alte costuri aferente imprumuturilor</t>
  </si>
  <si>
    <t>Comisioane si alte costuri aferente imprumuturilor interne</t>
  </si>
  <si>
    <t>Cheltuieli judiciare si extrajudiciare derivate din actiuni in reprezentarea intereselor statului, potrivit dispozitiilor legale</t>
  </si>
  <si>
    <t>Reclama si publicitate</t>
  </si>
  <si>
    <t>Protocol si reprezentare</t>
  </si>
  <si>
    <t>Prime de asigurare non-viata</t>
  </si>
  <si>
    <t>Executarea silita a creantelor bugetare</t>
  </si>
  <si>
    <t>Finantare nationala</t>
  </si>
  <si>
    <t>Finantare externa nerambursabila</t>
  </si>
  <si>
    <t>Programe din Fondul European de Dezvoltare Regionala (FEDR)</t>
  </si>
  <si>
    <t>Finantare Externa Nerambursabila</t>
  </si>
  <si>
    <t>Despagubiri civile</t>
  </si>
  <si>
    <t>71 04 00</t>
  </si>
  <si>
    <t>Reparatii capitale aferente active fixe</t>
  </si>
  <si>
    <t>PROIECTE CU FINANTARE DIN FONDURI EXTERNE NERAMBURSABILE (FEN) POSTADERARE AFERENTE CADRULUI FINANCIAR 2014-2020</t>
  </si>
  <si>
    <t>Cap. Actiuni generale economice, comerciale si de munca</t>
  </si>
  <si>
    <t xml:space="preserve">Prevenirea si combaterea inundatiilor si ingheturilor </t>
  </si>
  <si>
    <t>Cheltuieli aferente programelor cu finantare rambursabila                         (BDCE V)</t>
  </si>
  <si>
    <t>58 03 03</t>
  </si>
  <si>
    <t>Venituri din proprietate</t>
  </si>
  <si>
    <t>Venituri din dividende</t>
  </si>
  <si>
    <t>Dividende de la societatile si companiile nationale si societatile cu capital majoritar de stat</t>
  </si>
  <si>
    <t>Venituri din producerea riscurilor asigurate</t>
  </si>
  <si>
    <t>Sume primite in contul platilor efectuate in anii anteriori</t>
  </si>
  <si>
    <t>48 10 01 02</t>
  </si>
  <si>
    <t>48 10 01 03</t>
  </si>
  <si>
    <t>36 10 04</t>
  </si>
  <si>
    <t>30 10 08 03</t>
  </si>
  <si>
    <t>30 10 08</t>
  </si>
  <si>
    <t>30 10</t>
  </si>
  <si>
    <t>Drepturi de delegare</t>
  </si>
  <si>
    <t>10 01 17</t>
  </si>
  <si>
    <t>Indemnizatie de hrana</t>
  </si>
  <si>
    <t>ASISTENTA SOCIALA</t>
  </si>
  <si>
    <t>Ajutoare sociale</t>
  </si>
  <si>
    <t>Tichete de cresa si tichete sociale pentru gradinita</t>
  </si>
  <si>
    <t>5=4-3</t>
  </si>
  <si>
    <t>57 02</t>
  </si>
  <si>
    <t>57 02 03</t>
  </si>
  <si>
    <t>Programe din Fondul Social European (FSE)</t>
  </si>
  <si>
    <t>58 16 01</t>
  </si>
  <si>
    <t>58 02</t>
  </si>
  <si>
    <t>58 02 01</t>
  </si>
  <si>
    <t>58 02 02</t>
  </si>
  <si>
    <t>48 10 02</t>
  </si>
  <si>
    <t>48 10 02 01</t>
  </si>
  <si>
    <t>Fondul Social European (FSE)</t>
  </si>
  <si>
    <t>48 10 11 01</t>
  </si>
  <si>
    <t>48 10 11 02</t>
  </si>
  <si>
    <t>48 10 16 01</t>
  </si>
  <si>
    <t>31 10</t>
  </si>
  <si>
    <t>31 10 03</t>
  </si>
  <si>
    <t>Alte venituri din dobanzi</t>
  </si>
  <si>
    <t>Titlu Art Alin</t>
  </si>
  <si>
    <t xml:space="preserve"> - mii lei -</t>
  </si>
  <si>
    <t>48 10 02 02</t>
  </si>
  <si>
    <t>48 10 02 03</t>
  </si>
  <si>
    <t>48 10 16 02</t>
  </si>
  <si>
    <t>Programe Intrumentul European de Vecinatate (ENI)</t>
  </si>
  <si>
    <t>58 12</t>
  </si>
  <si>
    <t>58 12 01</t>
  </si>
  <si>
    <t>58 12 02</t>
  </si>
  <si>
    <t>Director DEF</t>
  </si>
  <si>
    <t>Liliana MICHINECI</t>
  </si>
  <si>
    <t>Programe din Fondul de Coeziune (FC)</t>
  </si>
  <si>
    <t>48 10 12</t>
  </si>
  <si>
    <t>48 10 12 03</t>
  </si>
  <si>
    <t>10 01 05</t>
  </si>
  <si>
    <t>Sporuri pentru conditii de munca</t>
  </si>
  <si>
    <t>58 12 03</t>
  </si>
  <si>
    <t>45 10 16 02</t>
  </si>
  <si>
    <t>58.16</t>
  </si>
  <si>
    <t>Alte  active fixe</t>
  </si>
  <si>
    <t>42 10 89</t>
  </si>
  <si>
    <t>Alocări de sume din PNRR aferente componentei împrumuturi</t>
  </si>
  <si>
    <t>42 10 89 01</t>
  </si>
  <si>
    <t>42 10 89 02</t>
  </si>
  <si>
    <t>42 10 89 03</t>
  </si>
  <si>
    <t>Fonduri din împrumut rambursabil</t>
  </si>
  <si>
    <t>Finanțare publică națională</t>
  </si>
  <si>
    <t>Sume aferente TVA</t>
  </si>
  <si>
    <t>IV. CHELTUIELI AFERERENTE COMPONENTEI DE ÎMPRUMUT A PNRR</t>
  </si>
  <si>
    <t>PROIECTE CU FINANTARE DIN SUMELE AFERENTE COMPONENTEI DE ÎMPRUMUT A PNRR</t>
  </si>
  <si>
    <t>61.01</t>
  </si>
  <si>
    <t>61.02</t>
  </si>
  <si>
    <t>61.03</t>
  </si>
  <si>
    <t>TOTAL CHELTUIELI (I+II+III)</t>
  </si>
  <si>
    <t>Șef Serviciu AEPEB</t>
  </si>
  <si>
    <t>Liliana Mocanu</t>
  </si>
  <si>
    <t>Reparatii capitale</t>
  </si>
  <si>
    <t>10 02 30</t>
  </si>
  <si>
    <t>Alte drepturi salariale in natura</t>
  </si>
  <si>
    <t>Alte programe comunitare finanțate în perioada 2014-2022 (APC)</t>
  </si>
  <si>
    <t>58 15</t>
  </si>
  <si>
    <t>58 15 02</t>
  </si>
  <si>
    <t>58 15 03</t>
  </si>
  <si>
    <t>48 08 15</t>
  </si>
  <si>
    <t>48 08 15 03</t>
  </si>
  <si>
    <t>42 10.39</t>
  </si>
  <si>
    <t>56 48</t>
  </si>
  <si>
    <t>Programe finanțate din Fondul European de Dezvoltare Regională (FEDR), aferente cadrului financiar 2021-2027</t>
  </si>
  <si>
    <t>56 48 01</t>
  </si>
  <si>
    <t>56 48 02</t>
  </si>
  <si>
    <t>56 48 03</t>
  </si>
  <si>
    <t>Întocmit</t>
  </si>
  <si>
    <t>George Croitoru</t>
  </si>
  <si>
    <t>Anexa nr. 2</t>
  </si>
  <si>
    <t>AVIZAT</t>
  </si>
  <si>
    <t>DIRECTOR GENERAL</t>
  </si>
  <si>
    <t>Ing. Sorin LUCACI</t>
  </si>
  <si>
    <t>la Referatul nr. 4278/LM/21.06.2023</t>
  </si>
  <si>
    <t>Excedent an 2014 = 359.092 mii lei</t>
  </si>
  <si>
    <t>Excedent an 2015 = 310.854 mii lei</t>
  </si>
  <si>
    <t>Deficit an 2016     =   42.634 mii lei</t>
  </si>
  <si>
    <t>Deficit an 2017     =  181.467 mii lei</t>
  </si>
  <si>
    <t>Deficit an 2018     = 155.786 mii lei</t>
  </si>
  <si>
    <t>Deficit an 2019     = 176.226 mii lei</t>
  </si>
  <si>
    <t>Deficit an 2020     =   66.728 mii lei</t>
  </si>
  <si>
    <t>Excedent an 2021  = 213.359 mii lei</t>
  </si>
  <si>
    <t>%</t>
  </si>
  <si>
    <t>5=4/3</t>
  </si>
  <si>
    <t>INFLUENŢE 
  (+/ -)</t>
  </si>
  <si>
    <t xml:space="preserve">       Șef Serviciu AEPEB</t>
  </si>
  <si>
    <t>85 01</t>
  </si>
  <si>
    <t>Plati efectuate in anii precedenti si recuperate in anul curent</t>
  </si>
  <si>
    <t>42 10 70</t>
  </si>
  <si>
    <t>Subvenţii de la bugetul de stat către instituţii publice finanţate parţial sau integral din venituri proprii necesare susţinerii derulării proiectelor finanţate din fonduri externe nerambursabile (FEN) postaderare aferete perioadei de programare 2014-2020</t>
  </si>
  <si>
    <t>45 10 16 03</t>
  </si>
  <si>
    <t>56 72</t>
  </si>
  <si>
    <t>56 72 02</t>
  </si>
  <si>
    <t>Alte programe comunitare finantate in perioada 2021-2027</t>
  </si>
  <si>
    <t>72 01</t>
  </si>
  <si>
    <t>Active financiare</t>
  </si>
  <si>
    <t>72 01 01</t>
  </si>
  <si>
    <t>Participare la capitalul social al societatilor comerciale</t>
  </si>
  <si>
    <t>48 10 15</t>
  </si>
  <si>
    <t>48 10 15 03</t>
  </si>
  <si>
    <t>48 08</t>
  </si>
  <si>
    <t>Excedent an 2022  = 15.811 mii lei</t>
  </si>
  <si>
    <t>PROGRAM 2024</t>
  </si>
  <si>
    <t>PROGRAM 
2024</t>
  </si>
  <si>
    <t>Proiecte cu finantare din fonduri externe nerambursabile (FEN) postaderare</t>
  </si>
  <si>
    <t>56.50</t>
  </si>
  <si>
    <t>Programe finanțate din Fondul de Coeziune (FC), aferente cadrului financiar 2021-2027</t>
  </si>
  <si>
    <t>56 50 01</t>
  </si>
  <si>
    <t>56 50 02</t>
  </si>
  <si>
    <t>56 50 03</t>
  </si>
  <si>
    <t>56 56</t>
  </si>
  <si>
    <t>56 56 02</t>
  </si>
  <si>
    <t>Asistenţă tehnică în cadrul programelor operaţionale, altele decât Programul Operaţional Asistenţă Tehnică, aferentă cadrului financiar 2021-2027</t>
  </si>
  <si>
    <t>Subvenţii de la bugetul de stat către instituţii publice finanţate parţial sau integral din venituri proprii pentru proiecte finanţate din FEN postaderare, aferente perioadei de programare 2021-2027</t>
  </si>
  <si>
    <t>Subvenţii de la bugetul de stat necesare susţinerii derulării proiectelor finanţate din fonduri externe nerambursabile (FEN) postaderare, aferete perioadei de programare 2021-2027</t>
  </si>
  <si>
    <t>42 10 93</t>
  </si>
  <si>
    <t>42 10 93 04</t>
  </si>
  <si>
    <t>Excedent an 2023  = 258.682 mii lei</t>
  </si>
  <si>
    <t>TOTAL                    =    534.957 mii lei</t>
  </si>
  <si>
    <t>Venituri proprii redistribuite intre institutii publice finantate integral din venituri proprii</t>
  </si>
  <si>
    <t>41 10</t>
  </si>
  <si>
    <t>41 10 07</t>
  </si>
  <si>
    <t>Alte operaţiuni financiare</t>
  </si>
  <si>
    <t>Anexa nr. 4</t>
  </si>
  <si>
    <t>*) Deficitul pentru anul 2024 va fi acoperit din excedentul anilor anteriori, astfel:</t>
  </si>
  <si>
    <t>BUGETUL DE VENITURI SI CHELTUIELI RECTIFICAT AL A.N.A.R.
PE ANUL 2024</t>
  </si>
  <si>
    <t>BUGETUL DE VENITURI SI CHELTUIELI  RECTIFICAT AL A.N.A.R. PE ANUL 2024
COMPARATIV CU EXECUTIA LA DATA DE 31.03.2024</t>
  </si>
  <si>
    <t>Anexa nr. 3</t>
  </si>
  <si>
    <t>BUGETUL DE VENITURI SI CHELTUIELI  RECTIFICAT AL A.N.A.R. PE ANUL 2024
COMPARATIV CU BUGETUL APROBAT PRIN H.G. nr. 636/2024</t>
  </si>
  <si>
    <t>PROGRAM 2024 APROBAT 
CF. H.G.
 nr. 636/2024</t>
  </si>
  <si>
    <t>10 02 03</t>
  </si>
  <si>
    <t>Uniforme si echipament obligatoriu</t>
  </si>
  <si>
    <t>45 10 72</t>
  </si>
  <si>
    <t>Sume primite in contul platilor efectuate in anul curent</t>
  </si>
  <si>
    <t>Sume primite in contul platilor efectuate in anii precedenti</t>
  </si>
  <si>
    <t>45 10 72 01</t>
  </si>
  <si>
    <t>45 10 72 02</t>
  </si>
  <si>
    <t>45 10 72 03</t>
  </si>
  <si>
    <t>EXECUTIA 
LA DATA DE 
31.07.2024</t>
  </si>
  <si>
    <t>Virări</t>
  </si>
  <si>
    <t>Rectificare</t>
  </si>
  <si>
    <t>59 44</t>
  </si>
  <si>
    <t>Impozite, taxe și amenzi datorate bugetului general consolidat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</si>
</sst>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charset val="238"/>
      <scheme val="minor"/>
    </font>
    <font>
      <sz val="11"/>
      <color theme="1"/>
      <name val="Calibri"/>
      <family val="2"/>
      <scheme val="minor"/>
    </font>
    <font>
      <sz val="10"/>
      <name val="Arial"/>
      <family val="2"/>
      <charset val="238"/>
    </font>
    <font>
      <b/>
      <sz val="10"/>
      <color theme="1"/>
      <name val="Times New Roman"/>
      <family val="1"/>
    </font>
    <font>
      <sz val="10"/>
      <color theme="1"/>
      <name val="Times New Roman"/>
      <family val="1"/>
    </font>
    <font>
      <sz val="10"/>
      <color theme="0"/>
      <name val="Times New Roman"/>
      <family val="1"/>
    </font>
    <font>
      <b/>
      <u/>
      <sz val="10"/>
      <color theme="1"/>
      <name val="Times New Roman"/>
      <family val="1"/>
    </font>
    <font>
      <sz val="10"/>
      <name val="Times New Roman"/>
      <family val="1"/>
    </font>
    <font>
      <b/>
      <sz val="10"/>
      <name val="Times New Roman"/>
      <family val="1"/>
    </font>
    <font>
      <b/>
      <i/>
      <sz val="10"/>
      <name val="Times New Roman"/>
      <family val="1"/>
    </font>
    <font>
      <sz val="9"/>
      <color theme="1"/>
      <name val="Calibri"/>
      <family val="2"/>
      <scheme val="minor"/>
    </font>
    <font>
      <b/>
      <sz val="9"/>
      <color theme="1"/>
      <name val="Calibri"/>
      <family val="2"/>
      <scheme val="minor"/>
    </font>
    <font>
      <b/>
      <sz val="10"/>
      <color theme="0"/>
      <name val="Times New Roman"/>
      <family val="1"/>
    </font>
  </fonts>
  <fills count="10">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5">
    <xf numFmtId="0" fontId="0" fillId="0" borderId="0"/>
    <xf numFmtId="0" fontId="3" fillId="0" borderId="0"/>
    <xf numFmtId="0" fontId="2" fillId="0" borderId="0"/>
    <xf numFmtId="0" fontId="2" fillId="0" borderId="0"/>
    <xf numFmtId="0" fontId="1" fillId="0" borderId="0"/>
  </cellStyleXfs>
  <cellXfs count="146">
    <xf numFmtId="0" fontId="0" fillId="0" borderId="0" xfId="0"/>
    <xf numFmtId="0" fontId="4" fillId="0" borderId="0" xfId="0" applyFont="1"/>
    <xf numFmtId="0" fontId="5" fillId="0" borderId="0" xfId="0" applyFont="1"/>
    <xf numFmtId="0" fontId="5" fillId="0" borderId="0" xfId="0" applyFont="1" applyAlignment="1">
      <alignment horizontal="center"/>
    </xf>
    <xf numFmtId="0" fontId="6" fillId="0" borderId="0" xfId="0" applyFont="1" applyAlignment="1">
      <alignment horizontal="right"/>
    </xf>
    <xf numFmtId="0" fontId="5" fillId="0" borderId="0" xfId="0" applyFont="1" applyAlignment="1">
      <alignment horizontal="right"/>
    </xf>
    <xf numFmtId="0" fontId="7" fillId="0" borderId="0" xfId="0" applyFont="1" applyAlignment="1">
      <alignment horizontal="center"/>
    </xf>
    <xf numFmtId="0" fontId="4" fillId="0" borderId="0" xfId="0" applyFont="1" applyAlignment="1">
      <alignment horizontal="center"/>
    </xf>
    <xf numFmtId="0" fontId="4" fillId="0" borderId="0" xfId="0" applyFont="1" applyAlignment="1">
      <alignment horizontal="center" vertical="center" wrapText="1"/>
    </xf>
    <xf numFmtId="0" fontId="9" fillId="0" borderId="0" xfId="1" applyFont="1" applyAlignment="1">
      <alignment wrapText="1"/>
    </xf>
    <xf numFmtId="0" fontId="8" fillId="2" borderId="0" xfId="0" applyFont="1" applyFill="1" applyAlignment="1">
      <alignment horizontal="center"/>
    </xf>
    <xf numFmtId="0" fontId="9" fillId="0" borderId="0" xfId="1" applyFont="1" applyAlignment="1">
      <alignment horizontal="center" wrapText="1"/>
    </xf>
    <xf numFmtId="49" fontId="9" fillId="0" borderId="0" xfId="1" quotePrefix="1" applyNumberFormat="1" applyFont="1" applyAlignment="1">
      <alignment horizontal="right" wrapText="1"/>
    </xf>
    <xf numFmtId="49" fontId="9" fillId="0" borderId="1" xfId="0" applyNumberFormat="1" applyFont="1" applyBorder="1" applyAlignment="1">
      <alignment horizontal="center" vertical="center" wrapText="1"/>
    </xf>
    <xf numFmtId="3" fontId="9" fillId="0" borderId="1" xfId="1" applyNumberFormat="1" applyFont="1" applyBorder="1" applyAlignment="1">
      <alignment horizontal="center" vertical="center" wrapText="1"/>
    </xf>
    <xf numFmtId="3" fontId="9" fillId="7" borderId="1" xfId="1" applyNumberFormat="1" applyFont="1" applyFill="1" applyBorder="1" applyAlignment="1">
      <alignment horizontal="center" vertical="center" wrapText="1"/>
    </xf>
    <xf numFmtId="49" fontId="9" fillId="0" borderId="1" xfId="0" applyNumberFormat="1" applyFont="1" applyBorder="1" applyAlignment="1">
      <alignment horizontal="center" vertical="center"/>
    </xf>
    <xf numFmtId="3" fontId="9" fillId="0" borderId="1" xfId="1" applyNumberFormat="1" applyFont="1" applyBorder="1" applyAlignment="1">
      <alignment horizontal="center" vertical="top" wrapText="1"/>
    </xf>
    <xf numFmtId="3" fontId="9" fillId="3" borderId="1" xfId="0" applyNumberFormat="1" applyFont="1" applyFill="1" applyBorder="1" applyAlignment="1">
      <alignment horizontal="center" vertical="top"/>
    </xf>
    <xf numFmtId="3" fontId="9" fillId="3" borderId="1" xfId="1" applyNumberFormat="1" applyFont="1" applyFill="1" applyBorder="1" applyAlignment="1">
      <alignment horizontal="left" vertical="top" wrapText="1"/>
    </xf>
    <xf numFmtId="3" fontId="9" fillId="3" borderId="1" xfId="1" applyNumberFormat="1" applyFont="1" applyFill="1" applyBorder="1" applyAlignment="1">
      <alignment vertical="top" wrapText="1"/>
    </xf>
    <xf numFmtId="2" fontId="5" fillId="0" borderId="0" xfId="0" applyNumberFormat="1" applyFont="1"/>
    <xf numFmtId="3" fontId="9" fillId="4" borderId="1" xfId="0" applyNumberFormat="1" applyFont="1" applyFill="1" applyBorder="1" applyAlignment="1">
      <alignment horizontal="center" vertical="top"/>
    </xf>
    <xf numFmtId="3" fontId="9" fillId="4" borderId="1" xfId="1" applyNumberFormat="1" applyFont="1" applyFill="1" applyBorder="1" applyAlignment="1">
      <alignment horizontal="left" vertical="top" wrapText="1"/>
    </xf>
    <xf numFmtId="3" fontId="9" fillId="4" borderId="1" xfId="1" applyNumberFormat="1" applyFont="1" applyFill="1" applyBorder="1" applyAlignment="1">
      <alignment vertical="top" wrapText="1"/>
    </xf>
    <xf numFmtId="3" fontId="9" fillId="0" borderId="1" xfId="0" applyNumberFormat="1" applyFont="1" applyBorder="1" applyAlignment="1">
      <alignment horizontal="center" vertical="top"/>
    </xf>
    <xf numFmtId="3" fontId="9" fillId="0" borderId="1" xfId="1" applyNumberFormat="1" applyFont="1" applyBorder="1" applyAlignment="1">
      <alignment horizontal="left" vertical="top" wrapText="1"/>
    </xf>
    <xf numFmtId="3" fontId="9" fillId="0" borderId="1" xfId="1" applyNumberFormat="1" applyFont="1" applyBorder="1" applyAlignment="1">
      <alignment vertical="top" wrapText="1"/>
    </xf>
    <xf numFmtId="3" fontId="9" fillId="7" borderId="1" xfId="1" applyNumberFormat="1" applyFont="1" applyFill="1" applyBorder="1" applyAlignment="1">
      <alignment vertical="top" wrapText="1"/>
    </xf>
    <xf numFmtId="3" fontId="4" fillId="7" borderId="1" xfId="0" applyNumberFormat="1" applyFont="1" applyFill="1" applyBorder="1" applyAlignment="1">
      <alignment vertical="top"/>
    </xf>
    <xf numFmtId="49" fontId="9" fillId="4" borderId="1" xfId="0" applyNumberFormat="1" applyFont="1" applyFill="1" applyBorder="1" applyAlignment="1">
      <alignment horizontal="center" vertical="top"/>
    </xf>
    <xf numFmtId="49" fontId="9" fillId="0" borderId="1" xfId="0" applyNumberFormat="1" applyFont="1" applyBorder="1" applyAlignment="1" applyProtection="1">
      <alignment horizontal="center" vertical="top"/>
      <protection locked="0"/>
    </xf>
    <xf numFmtId="3" fontId="9" fillId="0" borderId="1" xfId="0" applyNumberFormat="1" applyFont="1" applyBorder="1" applyAlignment="1" applyProtection="1">
      <alignment horizontal="center" vertical="top"/>
      <protection locked="0"/>
    </xf>
    <xf numFmtId="3" fontId="9" fillId="0" borderId="1" xfId="1" applyNumberFormat="1" applyFont="1" applyBorder="1" applyAlignment="1" applyProtection="1">
      <alignment horizontal="left" vertical="top" wrapText="1"/>
      <protection locked="0"/>
    </xf>
    <xf numFmtId="3" fontId="9" fillId="7" borderId="1" xfId="1" applyNumberFormat="1" applyFont="1" applyFill="1" applyBorder="1" applyAlignment="1" applyProtection="1">
      <alignment vertical="top" wrapText="1"/>
      <protection locked="0"/>
    </xf>
    <xf numFmtId="3" fontId="9" fillId="0" borderId="1" xfId="1" applyNumberFormat="1" applyFont="1" applyBorder="1" applyAlignment="1" applyProtection="1">
      <alignment vertical="top" wrapText="1"/>
      <protection locked="0"/>
    </xf>
    <xf numFmtId="3" fontId="9" fillId="4" borderId="1" xfId="1" applyNumberFormat="1" applyFont="1" applyFill="1" applyBorder="1" applyAlignment="1">
      <alignment horizontal="right" vertical="top" wrapText="1"/>
    </xf>
    <xf numFmtId="49" fontId="9" fillId="0" borderId="1" xfId="0" applyNumberFormat="1" applyFont="1" applyBorder="1" applyAlignment="1">
      <alignment horizontal="center" vertical="top"/>
    </xf>
    <xf numFmtId="3" fontId="9" fillId="0" borderId="1" xfId="1" applyNumberFormat="1" applyFont="1" applyBorder="1" applyAlignment="1">
      <alignment horizontal="right" vertical="top" wrapText="1"/>
    </xf>
    <xf numFmtId="3" fontId="9" fillId="4" borderId="1" xfId="0" applyNumberFormat="1" applyFont="1" applyFill="1" applyBorder="1" applyAlignment="1">
      <alignment horizontal="left" vertical="top" wrapText="1"/>
    </xf>
    <xf numFmtId="3" fontId="9" fillId="4" borderId="1" xfId="0" applyNumberFormat="1" applyFont="1" applyFill="1" applyBorder="1" applyAlignment="1" applyProtection="1">
      <alignment horizontal="center" vertical="top"/>
      <protection locked="0"/>
    </xf>
    <xf numFmtId="3" fontId="9" fillId="4" borderId="1" xfId="1" applyNumberFormat="1" applyFont="1" applyFill="1" applyBorder="1" applyAlignment="1" applyProtection="1">
      <alignment horizontal="left" vertical="top" wrapText="1"/>
      <protection locked="0"/>
    </xf>
    <xf numFmtId="49" fontId="9" fillId="4" borderId="1" xfId="0" applyNumberFormat="1" applyFont="1" applyFill="1" applyBorder="1" applyAlignment="1" applyProtection="1">
      <alignment horizontal="center" vertical="top"/>
      <protection locked="0"/>
    </xf>
    <xf numFmtId="49" fontId="9" fillId="7" borderId="1" xfId="0" applyNumberFormat="1" applyFont="1" applyFill="1" applyBorder="1" applyAlignment="1" applyProtection="1">
      <alignment horizontal="center" vertical="top"/>
      <protection locked="0"/>
    </xf>
    <xf numFmtId="3" fontId="9" fillId="7" borderId="1" xfId="0" applyNumberFormat="1" applyFont="1" applyFill="1" applyBorder="1" applyAlignment="1" applyProtection="1">
      <alignment horizontal="center" vertical="top"/>
      <protection locked="0"/>
    </xf>
    <xf numFmtId="3" fontId="9" fillId="7" borderId="1" xfId="1" applyNumberFormat="1" applyFont="1" applyFill="1" applyBorder="1" applyAlignment="1" applyProtection="1">
      <alignment horizontal="left" vertical="top" wrapText="1"/>
      <protection locked="0"/>
    </xf>
    <xf numFmtId="3" fontId="4" fillId="4" borderId="3" xfId="2" applyNumberFormat="1" applyFont="1" applyFill="1" applyBorder="1" applyAlignment="1">
      <alignment horizontal="center" vertical="top"/>
    </xf>
    <xf numFmtId="3" fontId="4" fillId="4" borderId="1" xfId="2" applyNumberFormat="1" applyFont="1" applyFill="1" applyBorder="1" applyAlignment="1">
      <alignment horizontal="center" vertical="top"/>
    </xf>
    <xf numFmtId="3" fontId="4" fillId="4" borderId="2" xfId="1" applyNumberFormat="1" applyFont="1" applyFill="1" applyBorder="1" applyAlignment="1">
      <alignment horizontal="left" vertical="top" wrapText="1"/>
    </xf>
    <xf numFmtId="3" fontId="4" fillId="0" borderId="3" xfId="2" applyNumberFormat="1" applyFont="1" applyBorder="1" applyAlignment="1" applyProtection="1">
      <alignment horizontal="center" vertical="top"/>
      <protection locked="0"/>
    </xf>
    <xf numFmtId="3" fontId="4" fillId="0" borderId="1" xfId="2" applyNumberFormat="1" applyFont="1" applyBorder="1" applyAlignment="1" applyProtection="1">
      <alignment horizontal="center" vertical="top"/>
      <protection locked="0"/>
    </xf>
    <xf numFmtId="3" fontId="4" fillId="0" borderId="2" xfId="1" applyNumberFormat="1" applyFont="1" applyBorder="1" applyAlignment="1" applyProtection="1">
      <alignment horizontal="left" vertical="top" wrapText="1"/>
      <protection locked="0"/>
    </xf>
    <xf numFmtId="3" fontId="10" fillId="4" borderId="1" xfId="1" applyNumberFormat="1" applyFont="1" applyFill="1" applyBorder="1" applyAlignment="1">
      <alignment horizontal="left" vertical="top" wrapText="1"/>
    </xf>
    <xf numFmtId="3" fontId="9" fillId="4" borderId="1" xfId="1" applyNumberFormat="1" applyFont="1" applyFill="1" applyBorder="1" applyAlignment="1">
      <alignment horizontal="left" vertical="top"/>
    </xf>
    <xf numFmtId="3" fontId="9" fillId="4" borderId="1" xfId="0" applyNumberFormat="1" applyFont="1" applyFill="1" applyBorder="1" applyAlignment="1">
      <alignment horizontal="center" vertical="center"/>
    </xf>
    <xf numFmtId="3" fontId="9" fillId="3" borderId="1" xfId="1" applyNumberFormat="1" applyFont="1" applyFill="1" applyBorder="1" applyAlignment="1">
      <alignment horizontal="left" vertical="top"/>
    </xf>
    <xf numFmtId="3" fontId="9" fillId="0" borderId="1" xfId="0" applyNumberFormat="1" applyFont="1" applyBorder="1" applyAlignment="1">
      <alignment horizontal="center" vertical="center"/>
    </xf>
    <xf numFmtId="3" fontId="9" fillId="0" borderId="1" xfId="1" applyNumberFormat="1" applyFont="1" applyBorder="1" applyAlignment="1">
      <alignment horizontal="left" vertical="center"/>
    </xf>
    <xf numFmtId="3" fontId="9" fillId="0" borderId="1" xfId="0" applyNumberFormat="1" applyFont="1" applyBorder="1" applyAlignment="1" applyProtection="1">
      <alignment horizontal="center" vertical="center"/>
      <protection locked="0"/>
    </xf>
    <xf numFmtId="3" fontId="9" fillId="0" borderId="1" xfId="0" applyNumberFormat="1" applyFont="1" applyBorder="1" applyAlignment="1" applyProtection="1">
      <alignment horizontal="left" vertical="top" wrapText="1"/>
      <protection locked="0"/>
    </xf>
    <xf numFmtId="3" fontId="9" fillId="7" borderId="1" xfId="0" applyNumberFormat="1" applyFont="1" applyFill="1" applyBorder="1" applyAlignment="1">
      <alignment horizontal="center" vertical="top"/>
    </xf>
    <xf numFmtId="3" fontId="9" fillId="7" borderId="1" xfId="1" applyNumberFormat="1" applyFont="1" applyFill="1" applyBorder="1" applyAlignment="1">
      <alignment horizontal="left" vertical="top"/>
    </xf>
    <xf numFmtId="3" fontId="9" fillId="0" borderId="1" xfId="1" applyNumberFormat="1" applyFont="1" applyBorder="1" applyAlignment="1">
      <alignment horizontal="left" vertical="top"/>
    </xf>
    <xf numFmtId="3" fontId="9" fillId="4" borderId="1" xfId="0" applyNumberFormat="1" applyFont="1" applyFill="1" applyBorder="1" applyAlignment="1">
      <alignment horizontal="left" vertical="center"/>
    </xf>
    <xf numFmtId="3" fontId="9" fillId="0" borderId="1" xfId="0" applyNumberFormat="1" applyFont="1" applyBorder="1" applyAlignment="1" applyProtection="1">
      <alignment horizontal="left" vertical="center"/>
      <protection locked="0"/>
    </xf>
    <xf numFmtId="3" fontId="9" fillId="0" borderId="1" xfId="0" applyNumberFormat="1" applyFont="1" applyBorder="1" applyAlignment="1" applyProtection="1">
      <alignment vertical="center"/>
      <protection locked="0"/>
    </xf>
    <xf numFmtId="3" fontId="9" fillId="4" borderId="1" xfId="1" applyNumberFormat="1" applyFont="1" applyFill="1" applyBorder="1" applyAlignment="1">
      <alignment vertical="top"/>
    </xf>
    <xf numFmtId="3" fontId="9" fillId="0" borderId="1" xfId="1" applyNumberFormat="1" applyFont="1" applyBorder="1" applyAlignment="1" applyProtection="1">
      <alignment horizontal="left" vertical="top"/>
      <protection locked="0"/>
    </xf>
    <xf numFmtId="3" fontId="9" fillId="0" borderId="1" xfId="1" applyNumberFormat="1" applyFont="1" applyBorder="1" applyAlignment="1" applyProtection="1">
      <alignment vertical="top"/>
      <protection locked="0"/>
    </xf>
    <xf numFmtId="3" fontId="9" fillId="0" borderId="1" xfId="1" applyNumberFormat="1" applyFont="1" applyBorder="1" applyAlignment="1" applyProtection="1">
      <alignment horizontal="left" vertical="center" wrapText="1"/>
      <protection locked="0"/>
    </xf>
    <xf numFmtId="3" fontId="9" fillId="7" borderId="1" xfId="1" applyNumberFormat="1" applyFont="1" applyFill="1" applyBorder="1" applyAlignment="1" applyProtection="1">
      <alignment vertical="center" wrapText="1"/>
      <protection locked="0"/>
    </xf>
    <xf numFmtId="3" fontId="9" fillId="0" borderId="1" xfId="1" applyNumberFormat="1" applyFont="1" applyBorder="1" applyAlignment="1" applyProtection="1">
      <alignment vertical="center" wrapText="1"/>
      <protection locked="0"/>
    </xf>
    <xf numFmtId="3" fontId="9" fillId="4" borderId="1" xfId="1" applyNumberFormat="1" applyFont="1" applyFill="1" applyBorder="1" applyAlignment="1">
      <alignment horizontal="center" vertical="top" wrapText="1"/>
    </xf>
    <xf numFmtId="3" fontId="9" fillId="0" borderId="1" xfId="1" applyNumberFormat="1" applyFont="1" applyBorder="1" applyAlignment="1" applyProtection="1">
      <alignment horizontal="center" vertical="top" wrapText="1"/>
      <protection locked="0"/>
    </xf>
    <xf numFmtId="3" fontId="9" fillId="0" borderId="1" xfId="0" applyNumberFormat="1" applyFont="1" applyBorder="1" applyAlignment="1" applyProtection="1">
      <alignment vertical="top"/>
      <protection locked="0"/>
    </xf>
    <xf numFmtId="3" fontId="9" fillId="7" borderId="1" xfId="0" applyNumberFormat="1" applyFont="1" applyFill="1" applyBorder="1" applyAlignment="1" applyProtection="1">
      <alignment vertical="top"/>
      <protection locked="0"/>
    </xf>
    <xf numFmtId="3" fontId="9" fillId="4" borderId="1" xfId="1" applyNumberFormat="1" applyFont="1" applyFill="1" applyBorder="1" applyAlignment="1" applyProtection="1">
      <alignment horizontal="center" vertical="top" wrapText="1"/>
      <protection locked="0"/>
    </xf>
    <xf numFmtId="3" fontId="9" fillId="4" borderId="1" xfId="1" applyNumberFormat="1" applyFont="1" applyFill="1" applyBorder="1" applyAlignment="1" applyProtection="1">
      <alignment vertical="top" wrapText="1"/>
      <protection locked="0"/>
    </xf>
    <xf numFmtId="3" fontId="9" fillId="4" borderId="1" xfId="1" applyNumberFormat="1" applyFont="1" applyFill="1" applyBorder="1" applyAlignment="1">
      <alignment horizontal="center" vertical="top"/>
    </xf>
    <xf numFmtId="3" fontId="9" fillId="4" borderId="1" xfId="1" quotePrefix="1" applyNumberFormat="1" applyFont="1" applyFill="1" applyBorder="1" applyAlignment="1">
      <alignment horizontal="left" vertical="center" wrapText="1"/>
    </xf>
    <xf numFmtId="3" fontId="9" fillId="4" borderId="1" xfId="1" applyNumberFormat="1" applyFont="1" applyFill="1" applyBorder="1" applyAlignment="1">
      <alignment vertical="center" wrapText="1"/>
    </xf>
    <xf numFmtId="3" fontId="9" fillId="4" borderId="1" xfId="2" applyNumberFormat="1" applyFont="1" applyFill="1" applyBorder="1" applyAlignment="1">
      <alignment horizontal="center" vertical="center"/>
    </xf>
    <xf numFmtId="3" fontId="9" fillId="4" borderId="1" xfId="2" applyNumberFormat="1" applyFont="1" applyFill="1" applyBorder="1" applyAlignment="1">
      <alignment horizontal="left" vertical="center" wrapText="1"/>
    </xf>
    <xf numFmtId="3" fontId="9" fillId="4" borderId="1" xfId="2" applyNumberFormat="1" applyFont="1" applyFill="1" applyBorder="1" applyAlignment="1">
      <alignment vertical="center" wrapText="1"/>
    </xf>
    <xf numFmtId="3" fontId="9" fillId="0" borderId="1" xfId="2" applyNumberFormat="1" applyFont="1" applyBorder="1" applyAlignment="1" applyProtection="1">
      <alignment horizontal="center" vertical="center"/>
      <protection locked="0"/>
    </xf>
    <xf numFmtId="3" fontId="9" fillId="0" borderId="1" xfId="2" applyNumberFormat="1" applyFont="1" applyBorder="1" applyAlignment="1" applyProtection="1">
      <alignment horizontal="left" vertical="center" wrapText="1"/>
      <protection locked="0"/>
    </xf>
    <xf numFmtId="3" fontId="9" fillId="0" borderId="1" xfId="2" applyNumberFormat="1" applyFont="1" applyBorder="1" applyAlignment="1" applyProtection="1">
      <alignment vertical="center" wrapText="1"/>
      <protection locked="0"/>
    </xf>
    <xf numFmtId="3" fontId="9" fillId="4" borderId="1" xfId="1" applyNumberFormat="1" applyFont="1" applyFill="1" applyBorder="1" applyAlignment="1">
      <alignment horizontal="left" vertical="center" wrapText="1"/>
    </xf>
    <xf numFmtId="3" fontId="9" fillId="7" borderId="1" xfId="2" applyNumberFormat="1" applyFont="1" applyFill="1" applyBorder="1" applyAlignment="1" applyProtection="1">
      <alignment vertical="center" wrapText="1"/>
      <protection locked="0"/>
    </xf>
    <xf numFmtId="3" fontId="9" fillId="0" borderId="1" xfId="2" applyNumberFormat="1" applyFont="1" applyBorder="1" applyAlignment="1" applyProtection="1">
      <alignment horizontal="left" vertical="top" wrapText="1"/>
      <protection locked="0"/>
    </xf>
    <xf numFmtId="3" fontId="9" fillId="0" borderId="1" xfId="2" applyNumberFormat="1" applyFont="1" applyBorder="1" applyAlignment="1" applyProtection="1">
      <alignment vertical="top" wrapText="1"/>
      <protection locked="0"/>
    </xf>
    <xf numFmtId="3" fontId="9" fillId="7" borderId="1" xfId="2" applyNumberFormat="1" applyFont="1" applyFill="1" applyBorder="1" applyAlignment="1" applyProtection="1">
      <alignment vertical="top" wrapText="1"/>
      <protection locked="0"/>
    </xf>
    <xf numFmtId="3" fontId="9" fillId="4" borderId="2" xfId="2" applyNumberFormat="1" applyFont="1" applyFill="1" applyBorder="1" applyAlignment="1">
      <alignment horizontal="left" vertical="center" wrapText="1"/>
    </xf>
    <xf numFmtId="3" fontId="9" fillId="4" borderId="1" xfId="2" applyNumberFormat="1" applyFont="1" applyFill="1" applyBorder="1" applyAlignment="1">
      <alignment horizontal="left" vertical="top" wrapText="1"/>
    </xf>
    <xf numFmtId="3" fontId="9" fillId="4" borderId="1" xfId="0" applyNumberFormat="1" applyFont="1" applyFill="1" applyBorder="1" applyAlignment="1" applyProtection="1">
      <alignment horizontal="center" vertical="center"/>
      <protection locked="0"/>
    </xf>
    <xf numFmtId="3" fontId="9" fillId="4" borderId="1" xfId="0" applyNumberFormat="1" applyFont="1" applyFill="1" applyBorder="1" applyAlignment="1" applyProtection="1">
      <alignment horizontal="left" vertical="top" wrapText="1"/>
      <protection locked="0"/>
    </xf>
    <xf numFmtId="3" fontId="9" fillId="4" borderId="1" xfId="0" applyNumberFormat="1" applyFont="1" applyFill="1" applyBorder="1" applyAlignment="1" applyProtection="1">
      <alignment vertical="top" wrapText="1"/>
      <protection locked="0"/>
    </xf>
    <xf numFmtId="3" fontId="9" fillId="7" borderId="1" xfId="1" applyNumberFormat="1" applyFont="1" applyFill="1" applyBorder="1" applyAlignment="1">
      <alignment horizontal="left" vertical="top" wrapText="1"/>
    </xf>
    <xf numFmtId="3" fontId="9" fillId="5" borderId="1" xfId="0" applyNumberFormat="1" applyFont="1" applyFill="1" applyBorder="1" applyAlignment="1">
      <alignment horizontal="center" vertical="top"/>
    </xf>
    <xf numFmtId="3" fontId="9" fillId="5" borderId="1" xfId="1" applyNumberFormat="1" applyFont="1" applyFill="1" applyBorder="1" applyAlignment="1">
      <alignment horizontal="left" vertical="top" wrapText="1"/>
    </xf>
    <xf numFmtId="3" fontId="9" fillId="5" borderId="1" xfId="1" applyNumberFormat="1" applyFont="1" applyFill="1" applyBorder="1" applyAlignment="1">
      <alignment vertical="top" wrapText="1"/>
    </xf>
    <xf numFmtId="3" fontId="9" fillId="7" borderId="1" xfId="0" applyNumberFormat="1" applyFont="1" applyFill="1" applyBorder="1" applyAlignment="1">
      <alignment horizontal="center" vertical="center"/>
    </xf>
    <xf numFmtId="3" fontId="9" fillId="7" borderId="1" xfId="0" applyNumberFormat="1" applyFont="1" applyFill="1" applyBorder="1" applyAlignment="1">
      <alignment horizontal="left" vertical="top" wrapText="1"/>
    </xf>
    <xf numFmtId="3" fontId="9" fillId="7" borderId="1" xfId="0" applyNumberFormat="1" applyFont="1" applyFill="1" applyBorder="1" applyAlignment="1">
      <alignment vertical="top" wrapText="1"/>
    </xf>
    <xf numFmtId="3" fontId="9" fillId="5" borderId="1" xfId="0" applyNumberFormat="1" applyFont="1" applyFill="1" applyBorder="1" applyAlignment="1">
      <alignment horizontal="center" vertical="center"/>
    </xf>
    <xf numFmtId="3" fontId="9" fillId="6" borderId="1" xfId="0" applyNumberFormat="1" applyFont="1" applyFill="1" applyBorder="1" applyAlignment="1">
      <alignment horizontal="center" vertical="top"/>
    </xf>
    <xf numFmtId="3" fontId="9" fillId="6" borderId="1" xfId="1" applyNumberFormat="1" applyFont="1" applyFill="1" applyBorder="1" applyAlignment="1">
      <alignment horizontal="left" vertical="top" wrapText="1"/>
    </xf>
    <xf numFmtId="3" fontId="9" fillId="6" borderId="1" xfId="1" applyNumberFormat="1" applyFont="1" applyFill="1" applyBorder="1" applyAlignment="1">
      <alignment vertical="top" wrapText="1"/>
    </xf>
    <xf numFmtId="3" fontId="9" fillId="6" borderId="1" xfId="0" applyNumberFormat="1" applyFont="1" applyFill="1" applyBorder="1" applyAlignment="1">
      <alignment horizontal="center" vertical="center"/>
    </xf>
    <xf numFmtId="3" fontId="9" fillId="6" borderId="1" xfId="0" applyNumberFormat="1" applyFont="1" applyFill="1" applyBorder="1" applyAlignment="1">
      <alignment horizontal="left" vertical="top" wrapText="1"/>
    </xf>
    <xf numFmtId="3" fontId="9" fillId="6" borderId="1" xfId="0" applyNumberFormat="1" applyFont="1" applyFill="1" applyBorder="1" applyAlignment="1">
      <alignment vertical="top" wrapText="1"/>
    </xf>
    <xf numFmtId="3" fontId="9" fillId="0" borderId="1" xfId="0" applyNumberFormat="1" applyFont="1" applyBorder="1" applyAlignment="1" applyProtection="1">
      <alignment vertical="top" wrapText="1"/>
      <protection locked="0"/>
    </xf>
    <xf numFmtId="3" fontId="9" fillId="6" borderId="1" xfId="0" applyNumberFormat="1" applyFont="1" applyFill="1" applyBorder="1" applyAlignment="1">
      <alignment horizontal="center" vertical="center" wrapText="1"/>
    </xf>
    <xf numFmtId="3" fontId="9" fillId="6" borderId="1" xfId="0" quotePrefix="1" applyNumberFormat="1" applyFont="1"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alignment horizontal="left"/>
    </xf>
    <xf numFmtId="0" fontId="5" fillId="0" borderId="0" xfId="0" applyFont="1" applyAlignment="1">
      <alignment horizontal="center" vertical="center"/>
    </xf>
    <xf numFmtId="3" fontId="5" fillId="0" borderId="0" xfId="0" applyNumberFormat="1" applyFont="1"/>
    <xf numFmtId="0" fontId="5" fillId="0" borderId="1" xfId="0" applyFont="1" applyBorder="1"/>
    <xf numFmtId="4" fontId="5" fillId="0" borderId="1" xfId="0" applyNumberFormat="1" applyFont="1" applyBorder="1" applyAlignment="1">
      <alignment horizontal="center"/>
    </xf>
    <xf numFmtId="0" fontId="5" fillId="0" borderId="1" xfId="0" applyFont="1" applyBorder="1" applyAlignment="1">
      <alignment horizontal="center"/>
    </xf>
    <xf numFmtId="38" fontId="5" fillId="0" borderId="1" xfId="0" applyNumberFormat="1" applyFont="1" applyBorder="1"/>
    <xf numFmtId="4" fontId="5" fillId="0" borderId="1" xfId="0" applyNumberFormat="1" applyFont="1" applyBorder="1"/>
    <xf numFmtId="3" fontId="5" fillId="8" borderId="0" xfId="0" applyNumberFormat="1" applyFont="1" applyFill="1"/>
    <xf numFmtId="0" fontId="5" fillId="7" borderId="0" xfId="0" applyFont="1" applyFill="1"/>
    <xf numFmtId="0" fontId="11" fillId="0" borderId="0" xfId="0" applyFont="1"/>
    <xf numFmtId="3" fontId="11" fillId="0" borderId="0" xfId="0" applyNumberFormat="1" applyFont="1"/>
    <xf numFmtId="3" fontId="12" fillId="0" borderId="0" xfId="0" applyNumberFormat="1" applyFont="1"/>
    <xf numFmtId="3" fontId="5" fillId="0" borderId="0" xfId="0" applyNumberFormat="1" applyFont="1" applyAlignment="1">
      <alignment horizontal="right"/>
    </xf>
    <xf numFmtId="3" fontId="5" fillId="0" borderId="0" xfId="0" applyNumberFormat="1" applyFont="1" applyAlignment="1">
      <alignment vertical="center"/>
    </xf>
    <xf numFmtId="0" fontId="12" fillId="0" borderId="0" xfId="0" applyFont="1"/>
    <xf numFmtId="3" fontId="9" fillId="7" borderId="1" xfId="0" applyNumberFormat="1" applyFont="1" applyFill="1" applyBorder="1" applyAlignment="1" applyProtection="1">
      <alignment vertical="top" wrapText="1"/>
      <protection locked="0"/>
    </xf>
    <xf numFmtId="0" fontId="4" fillId="0" borderId="0" xfId="0" applyFont="1" applyAlignment="1">
      <alignment horizontal="right"/>
    </xf>
    <xf numFmtId="0" fontId="11" fillId="7" borderId="0" xfId="0" applyFont="1" applyFill="1"/>
    <xf numFmtId="0" fontId="5" fillId="3" borderId="0" xfId="0" applyFont="1" applyFill="1" applyAlignment="1">
      <alignment horizontal="center"/>
    </xf>
    <xf numFmtId="0" fontId="5" fillId="9" borderId="0" xfId="0" applyFont="1" applyFill="1" applyAlignment="1">
      <alignment horizontal="center"/>
    </xf>
    <xf numFmtId="0" fontId="13" fillId="0" borderId="0" xfId="0" applyFont="1" applyAlignment="1">
      <alignment horizontal="right"/>
    </xf>
    <xf numFmtId="3" fontId="9" fillId="5" borderId="1" xfId="1" applyNumberFormat="1" applyFont="1" applyFill="1" applyBorder="1" applyAlignment="1" applyProtection="1">
      <alignment vertical="top" wrapText="1"/>
      <protection locked="0"/>
    </xf>
    <xf numFmtId="3" fontId="9" fillId="5" borderId="1" xfId="2" applyNumberFormat="1" applyFont="1" applyFill="1" applyBorder="1" applyAlignment="1" applyProtection="1">
      <alignment vertical="top" wrapText="1"/>
      <protection locked="0"/>
    </xf>
    <xf numFmtId="0" fontId="8" fillId="0" borderId="0" xfId="1" applyFont="1" applyAlignment="1">
      <alignment horizontal="left" wrapText="1"/>
    </xf>
    <xf numFmtId="0" fontId="4" fillId="0" borderId="0" xfId="0" applyFont="1" applyAlignment="1">
      <alignment horizontal="center" vertical="center" wrapText="1"/>
    </xf>
    <xf numFmtId="0" fontId="5" fillId="0" borderId="0" xfId="0" applyFont="1" applyAlignment="1">
      <alignment horizontal="center"/>
    </xf>
    <xf numFmtId="0" fontId="7" fillId="0" borderId="0" xfId="0" applyFont="1" applyAlignment="1">
      <alignment horizontal="center"/>
    </xf>
    <xf numFmtId="0" fontId="4" fillId="0" borderId="0" xfId="0" applyFont="1" applyAlignment="1">
      <alignment horizontal="center"/>
    </xf>
    <xf numFmtId="0" fontId="4" fillId="7" borderId="0" xfId="0" applyFont="1" applyFill="1" applyAlignment="1">
      <alignment horizontal="center" vertical="center" wrapText="1"/>
    </xf>
  </cellXfs>
  <cellStyles count="5">
    <cellStyle name="Normal" xfId="0" builtinId="0"/>
    <cellStyle name="Normal 2" xfId="2" xr:uid="{00000000-0005-0000-0000-000001000000}"/>
    <cellStyle name="Normal 3" xfId="3" xr:uid="{00000000-0005-0000-0000-000002000000}"/>
    <cellStyle name="Normal 4" xfId="4" xr:uid="{00000000-0005-0000-0000-000003000000}"/>
    <cellStyle name="Normal_Sheet1" xfId="1"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8E4C0E-AD85-498D-A15D-6CAD603871B3}">
  <sheetPr>
    <tabColor rgb="FF00B0F0"/>
  </sheetPr>
  <dimension ref="A1:I651"/>
  <sheetViews>
    <sheetView tabSelected="1" zoomScale="170" zoomScaleNormal="170" zoomScaleSheetLayoutView="120" workbookViewId="0">
      <pane xSplit="3" ySplit="14" topLeftCell="D34" activePane="bottomRight" state="frozen"/>
      <selection pane="topRight" activeCell="D1" sqref="D1"/>
      <selection pane="bottomLeft" activeCell="A9" sqref="A9"/>
      <selection pane="bottomRight" activeCell="D7" sqref="D7"/>
    </sheetView>
  </sheetViews>
  <sheetFormatPr defaultColWidth="9.140625" defaultRowHeight="12.75" x14ac:dyDescent="0.2"/>
  <cols>
    <col min="1" max="1" width="11.140625" style="2" customWidth="1"/>
    <col min="2" max="2" width="9.140625" style="2"/>
    <col min="3" max="3" width="55.7109375" style="2" customWidth="1"/>
    <col min="4" max="4" width="25.140625" style="2" customWidth="1"/>
    <col min="5" max="5" width="9.140625" style="2" customWidth="1"/>
    <col min="6" max="6" width="9.140625" style="2"/>
    <col min="7" max="7" width="9.140625" style="2" customWidth="1"/>
    <col min="8" max="16384" width="9.140625" style="2"/>
  </cols>
  <sheetData>
    <row r="1" spans="1:4" hidden="1" x14ac:dyDescent="0.2">
      <c r="A1" s="1"/>
      <c r="D1" s="3" t="s">
        <v>339</v>
      </c>
    </row>
    <row r="2" spans="1:4" hidden="1" x14ac:dyDescent="0.2">
      <c r="A2" s="1"/>
      <c r="D2" s="3" t="s">
        <v>343</v>
      </c>
    </row>
    <row r="3" spans="1:4" x14ac:dyDescent="0.2">
      <c r="A3" s="1"/>
      <c r="D3" s="133" t="s">
        <v>397</v>
      </c>
    </row>
    <row r="4" spans="1:4" hidden="1" x14ac:dyDescent="0.2">
      <c r="A4" s="1"/>
      <c r="D4" s="6" t="s">
        <v>340</v>
      </c>
    </row>
    <row r="5" spans="1:4" hidden="1" x14ac:dyDescent="0.2">
      <c r="A5" s="1"/>
      <c r="D5" s="7" t="s">
        <v>341</v>
      </c>
    </row>
    <row r="6" spans="1:4" hidden="1" x14ac:dyDescent="0.2">
      <c r="A6" s="1"/>
      <c r="D6" s="7" t="s">
        <v>342</v>
      </c>
    </row>
    <row r="7" spans="1:4" x14ac:dyDescent="0.2">
      <c r="A7" s="1"/>
      <c r="D7" s="4"/>
    </row>
    <row r="8" spans="1:4" ht="15" customHeight="1" x14ac:dyDescent="0.2">
      <c r="A8" s="141" t="s">
        <v>395</v>
      </c>
      <c r="B8" s="141"/>
      <c r="C8" s="141"/>
      <c r="D8" s="141"/>
    </row>
    <row r="9" spans="1:4" ht="18.75" customHeight="1" x14ac:dyDescent="0.2">
      <c r="A9" s="141"/>
      <c r="B9" s="141"/>
      <c r="C9" s="141"/>
      <c r="D9" s="141"/>
    </row>
    <row r="10" spans="1:4" ht="10.5" customHeight="1" x14ac:dyDescent="0.2">
      <c r="A10" s="8"/>
      <c r="B10" s="8"/>
      <c r="C10" s="8"/>
      <c r="D10" s="8"/>
    </row>
    <row r="11" spans="1:4" ht="15" customHeight="1" x14ac:dyDescent="0.2">
      <c r="A11" s="140" t="s">
        <v>157</v>
      </c>
      <c r="B11" s="140"/>
      <c r="C11" s="140"/>
      <c r="D11" s="9"/>
    </row>
    <row r="12" spans="1:4" ht="19.5" customHeight="1" x14ac:dyDescent="0.2">
      <c r="A12" s="10"/>
      <c r="B12" s="11"/>
      <c r="C12" s="11"/>
      <c r="D12" s="12" t="s">
        <v>287</v>
      </c>
    </row>
    <row r="13" spans="1:4" ht="25.5" x14ac:dyDescent="0.2">
      <c r="A13" s="13" t="s">
        <v>0</v>
      </c>
      <c r="B13" s="13" t="s">
        <v>286</v>
      </c>
      <c r="C13" s="14" t="s">
        <v>1</v>
      </c>
      <c r="D13" s="15" t="s">
        <v>372</v>
      </c>
    </row>
    <row r="14" spans="1:4" x14ac:dyDescent="0.2">
      <c r="A14" s="16"/>
      <c r="B14" s="16">
        <v>1</v>
      </c>
      <c r="C14" s="17">
        <v>2</v>
      </c>
      <c r="D14" s="17">
        <v>3</v>
      </c>
    </row>
    <row r="15" spans="1:4" x14ac:dyDescent="0.2">
      <c r="A15" s="18"/>
      <c r="B15" s="18"/>
      <c r="C15" s="19" t="s">
        <v>2</v>
      </c>
      <c r="D15" s="20">
        <f>D16+D34</f>
        <v>3278837</v>
      </c>
    </row>
    <row r="16" spans="1:4" x14ac:dyDescent="0.2">
      <c r="A16" s="22"/>
      <c r="B16" s="22"/>
      <c r="C16" s="23" t="s">
        <v>3</v>
      </c>
      <c r="D16" s="24">
        <f>D17</f>
        <v>1540109</v>
      </c>
    </row>
    <row r="17" spans="1:4" x14ac:dyDescent="0.2">
      <c r="A17" s="22"/>
      <c r="B17" s="22"/>
      <c r="C17" s="23" t="s">
        <v>168</v>
      </c>
      <c r="D17" s="24">
        <f>D23+D25+D27+D18+D21+D32</f>
        <v>1540109</v>
      </c>
    </row>
    <row r="18" spans="1:4" x14ac:dyDescent="0.2">
      <c r="A18" s="22" t="s">
        <v>262</v>
      </c>
      <c r="B18" s="22"/>
      <c r="C18" s="23" t="s">
        <v>252</v>
      </c>
      <c r="D18" s="24">
        <f t="shared" ref="D18:D19" si="0">D19</f>
        <v>646</v>
      </c>
    </row>
    <row r="19" spans="1:4" x14ac:dyDescent="0.2">
      <c r="A19" s="22" t="s">
        <v>261</v>
      </c>
      <c r="B19" s="22"/>
      <c r="C19" s="23" t="s">
        <v>253</v>
      </c>
      <c r="D19" s="24">
        <f t="shared" si="0"/>
        <v>646</v>
      </c>
    </row>
    <row r="20" spans="1:4" ht="25.5" x14ac:dyDescent="0.2">
      <c r="A20" s="25" t="s">
        <v>260</v>
      </c>
      <c r="B20" s="25"/>
      <c r="C20" s="26" t="s">
        <v>254</v>
      </c>
      <c r="D20" s="27">
        <f>500+146</f>
        <v>646</v>
      </c>
    </row>
    <row r="21" spans="1:4" x14ac:dyDescent="0.2">
      <c r="A21" s="30" t="s">
        <v>283</v>
      </c>
      <c r="B21" s="22"/>
      <c r="C21" s="23" t="s">
        <v>285</v>
      </c>
      <c r="D21" s="24">
        <f>D22</f>
        <v>238</v>
      </c>
    </row>
    <row r="22" spans="1:4" x14ac:dyDescent="0.2">
      <c r="A22" s="31" t="s">
        <v>284</v>
      </c>
      <c r="B22" s="32"/>
      <c r="C22" s="33" t="s">
        <v>285</v>
      </c>
      <c r="D22" s="28">
        <f>100+138</f>
        <v>238</v>
      </c>
    </row>
    <row r="23" spans="1:4" x14ac:dyDescent="0.2">
      <c r="A23" s="30" t="s">
        <v>4</v>
      </c>
      <c r="B23" s="22"/>
      <c r="C23" s="23" t="s">
        <v>169</v>
      </c>
      <c r="D23" s="24">
        <f t="shared" ref="D23" si="1">D24</f>
        <v>1526944</v>
      </c>
    </row>
    <row r="24" spans="1:4" x14ac:dyDescent="0.2">
      <c r="A24" s="31" t="s">
        <v>5</v>
      </c>
      <c r="B24" s="32"/>
      <c r="C24" s="33" t="s">
        <v>170</v>
      </c>
      <c r="D24" s="34">
        <f>1508706-900+900+18238</f>
        <v>1526944</v>
      </c>
    </row>
    <row r="25" spans="1:4" x14ac:dyDescent="0.2">
      <c r="A25" s="30" t="s">
        <v>6</v>
      </c>
      <c r="B25" s="22"/>
      <c r="C25" s="23" t="s">
        <v>171</v>
      </c>
      <c r="D25" s="24">
        <f t="shared" ref="D25" si="2">D26</f>
        <v>743</v>
      </c>
    </row>
    <row r="26" spans="1:4" x14ac:dyDescent="0.2">
      <c r="A26" s="31" t="s">
        <v>7</v>
      </c>
      <c r="B26" s="32"/>
      <c r="C26" s="33" t="s">
        <v>172</v>
      </c>
      <c r="D26" s="35">
        <f>625+118</f>
        <v>743</v>
      </c>
    </row>
    <row r="27" spans="1:4" x14ac:dyDescent="0.2">
      <c r="A27" s="30" t="s">
        <v>8</v>
      </c>
      <c r="B27" s="22"/>
      <c r="C27" s="23" t="s">
        <v>9</v>
      </c>
      <c r="D27" s="36">
        <f>D28+D29</f>
        <v>11538</v>
      </c>
    </row>
    <row r="28" spans="1:4" hidden="1" x14ac:dyDescent="0.2">
      <c r="A28" s="37" t="s">
        <v>259</v>
      </c>
      <c r="B28" s="25"/>
      <c r="C28" s="26" t="s">
        <v>255</v>
      </c>
      <c r="D28" s="38"/>
    </row>
    <row r="29" spans="1:4" x14ac:dyDescent="0.2">
      <c r="A29" s="30" t="s">
        <v>10</v>
      </c>
      <c r="B29" s="22"/>
      <c r="C29" s="23" t="s">
        <v>11</v>
      </c>
      <c r="D29" s="24">
        <f>D30+D31</f>
        <v>11538</v>
      </c>
    </row>
    <row r="30" spans="1:4" ht="25.5" x14ac:dyDescent="0.2">
      <c r="A30" s="31"/>
      <c r="B30" s="32"/>
      <c r="C30" s="33" t="s">
        <v>173</v>
      </c>
      <c r="D30" s="34">
        <v>9452</v>
      </c>
    </row>
    <row r="31" spans="1:4" x14ac:dyDescent="0.2">
      <c r="A31" s="31"/>
      <c r="B31" s="32"/>
      <c r="C31" s="33" t="s">
        <v>174</v>
      </c>
      <c r="D31" s="35">
        <f>2013+73</f>
        <v>2086</v>
      </c>
    </row>
    <row r="32" spans="1:4" hidden="1" x14ac:dyDescent="0.2">
      <c r="A32" s="30" t="s">
        <v>390</v>
      </c>
      <c r="B32" s="22"/>
      <c r="C32" s="23" t="s">
        <v>392</v>
      </c>
      <c r="D32" s="24">
        <f>D33</f>
        <v>0</v>
      </c>
    </row>
    <row r="33" spans="1:8" ht="25.5" hidden="1" x14ac:dyDescent="0.2">
      <c r="A33" s="31" t="s">
        <v>391</v>
      </c>
      <c r="B33" s="32"/>
      <c r="C33" s="33" t="s">
        <v>389</v>
      </c>
      <c r="D33" s="35"/>
    </row>
    <row r="34" spans="1:8" x14ac:dyDescent="0.2">
      <c r="A34" s="22"/>
      <c r="B34" s="22"/>
      <c r="C34" s="39" t="s">
        <v>175</v>
      </c>
      <c r="D34" s="24">
        <f>D35+D52+D65+D62</f>
        <v>1738728</v>
      </c>
      <c r="F34" s="118"/>
      <c r="G34" s="118"/>
    </row>
    <row r="35" spans="1:8" x14ac:dyDescent="0.2">
      <c r="A35" s="30" t="s">
        <v>12</v>
      </c>
      <c r="B35" s="22"/>
      <c r="C35" s="23" t="s">
        <v>176</v>
      </c>
      <c r="D35" s="24">
        <f>D36+D44+D46+D45+D50</f>
        <v>1726811</v>
      </c>
      <c r="F35" s="118"/>
      <c r="G35" s="118">
        <f>D35-D484</f>
        <v>0</v>
      </c>
      <c r="H35" s="118"/>
    </row>
    <row r="36" spans="1:8" ht="25.5" x14ac:dyDescent="0.2">
      <c r="A36" s="30" t="s">
        <v>13</v>
      </c>
      <c r="B36" s="22"/>
      <c r="C36" s="23" t="s">
        <v>177</v>
      </c>
      <c r="D36" s="24">
        <f>D37+D39+D43+D38</f>
        <v>325263</v>
      </c>
    </row>
    <row r="37" spans="1:8" ht="25.5" x14ac:dyDescent="0.2">
      <c r="A37" s="32"/>
      <c r="B37" s="32"/>
      <c r="C37" s="33" t="s">
        <v>178</v>
      </c>
      <c r="D37" s="34">
        <f>1800+137843</f>
        <v>139643</v>
      </c>
    </row>
    <row r="38" spans="1:8" x14ac:dyDescent="0.2">
      <c r="A38" s="32"/>
      <c r="B38" s="32"/>
      <c r="C38" s="33" t="s">
        <v>179</v>
      </c>
      <c r="D38" s="35">
        <f>25000+10000+5000+35000+10000</f>
        <v>85000</v>
      </c>
    </row>
    <row r="39" spans="1:8" x14ac:dyDescent="0.2">
      <c r="A39" s="22"/>
      <c r="B39" s="22"/>
      <c r="C39" s="23" t="s">
        <v>180</v>
      </c>
      <c r="D39" s="24">
        <f>D40+D41+D42</f>
        <v>99270</v>
      </c>
    </row>
    <row r="40" spans="1:8" x14ac:dyDescent="0.2">
      <c r="A40" s="32"/>
      <c r="B40" s="32"/>
      <c r="C40" s="33" t="s">
        <v>134</v>
      </c>
      <c r="D40" s="34">
        <f>98170-1580</f>
        <v>96590</v>
      </c>
    </row>
    <row r="41" spans="1:8" hidden="1" x14ac:dyDescent="0.2">
      <c r="A41" s="32"/>
      <c r="B41" s="32"/>
      <c r="C41" s="33" t="s">
        <v>14</v>
      </c>
      <c r="D41" s="34">
        <f>657-657</f>
        <v>0</v>
      </c>
    </row>
    <row r="42" spans="1:8" x14ac:dyDescent="0.2">
      <c r="A42" s="32"/>
      <c r="B42" s="32"/>
      <c r="C42" s="33" t="s">
        <v>322</v>
      </c>
      <c r="D42" s="34">
        <f>1100+1580</f>
        <v>2680</v>
      </c>
    </row>
    <row r="43" spans="1:8" x14ac:dyDescent="0.2">
      <c r="A43" s="40"/>
      <c r="B43" s="40"/>
      <c r="C43" s="41" t="s">
        <v>181</v>
      </c>
      <c r="D43" s="24">
        <v>1350</v>
      </c>
    </row>
    <row r="44" spans="1:8" ht="38.25" hidden="1" x14ac:dyDescent="0.2">
      <c r="A44" s="42" t="s">
        <v>331</v>
      </c>
      <c r="B44" s="40"/>
      <c r="C44" s="41" t="s">
        <v>182</v>
      </c>
      <c r="D44" s="24"/>
    </row>
    <row r="45" spans="1:8" ht="53.25" customHeight="1" x14ac:dyDescent="0.2">
      <c r="A45" s="42" t="s">
        <v>358</v>
      </c>
      <c r="B45" s="40"/>
      <c r="C45" s="41" t="s">
        <v>359</v>
      </c>
      <c r="D45" s="24">
        <f>273900-16524-3600-2000-4313-5413-199-6766-10641-21000-337</f>
        <v>203107</v>
      </c>
    </row>
    <row r="46" spans="1:8" x14ac:dyDescent="0.2">
      <c r="A46" s="42" t="s">
        <v>306</v>
      </c>
      <c r="B46" s="40"/>
      <c r="C46" s="41" t="s">
        <v>307</v>
      </c>
      <c r="D46" s="24">
        <f>SUM(D47:D49)</f>
        <v>473858</v>
      </c>
    </row>
    <row r="47" spans="1:8" x14ac:dyDescent="0.2">
      <c r="A47" s="43" t="s">
        <v>308</v>
      </c>
      <c r="B47" s="44"/>
      <c r="C47" s="45" t="s">
        <v>311</v>
      </c>
      <c r="D47" s="28">
        <v>399368</v>
      </c>
    </row>
    <row r="48" spans="1:8" hidden="1" x14ac:dyDescent="0.2">
      <c r="A48" s="43" t="s">
        <v>309</v>
      </c>
      <c r="B48" s="44"/>
      <c r="C48" s="45" t="s">
        <v>312</v>
      </c>
      <c r="D48" s="28"/>
    </row>
    <row r="49" spans="1:4" x14ac:dyDescent="0.2">
      <c r="A49" s="43" t="s">
        <v>310</v>
      </c>
      <c r="B49" s="44"/>
      <c r="C49" s="45" t="s">
        <v>313</v>
      </c>
      <c r="D49" s="28">
        <f>74406+84</f>
        <v>74490</v>
      </c>
    </row>
    <row r="50" spans="1:4" ht="44.25" customHeight="1" x14ac:dyDescent="0.2">
      <c r="A50" s="42" t="s">
        <v>385</v>
      </c>
      <c r="B50" s="40"/>
      <c r="C50" s="41" t="s">
        <v>384</v>
      </c>
      <c r="D50" s="24">
        <f>D51</f>
        <v>724583</v>
      </c>
    </row>
    <row r="51" spans="1:4" ht="39.75" customHeight="1" x14ac:dyDescent="0.2">
      <c r="A51" s="43" t="s">
        <v>386</v>
      </c>
      <c r="B51" s="44"/>
      <c r="C51" s="45" t="s">
        <v>383</v>
      </c>
      <c r="D51" s="28">
        <f>50000+52019+494985-26659-17666+94059+21000+37019+19826</f>
        <v>724583</v>
      </c>
    </row>
    <row r="52" spans="1:4" ht="25.5" x14ac:dyDescent="0.2">
      <c r="A52" s="30" t="s">
        <v>15</v>
      </c>
      <c r="B52" s="22"/>
      <c r="C52" s="39" t="s">
        <v>183</v>
      </c>
      <c r="D52" s="24">
        <f>D53+D55+D58</f>
        <v>2133</v>
      </c>
    </row>
    <row r="53" spans="1:4" hidden="1" x14ac:dyDescent="0.2">
      <c r="A53" s="30" t="s">
        <v>16</v>
      </c>
      <c r="B53" s="22"/>
      <c r="C53" s="39" t="s">
        <v>184</v>
      </c>
      <c r="D53" s="24">
        <f>SUM(D54:D54)</f>
        <v>0</v>
      </c>
    </row>
    <row r="54" spans="1:4" hidden="1" x14ac:dyDescent="0.2">
      <c r="A54" s="31" t="s">
        <v>17</v>
      </c>
      <c r="B54" s="32"/>
      <c r="C54" s="33" t="s">
        <v>18</v>
      </c>
      <c r="D54" s="35">
        <v>0</v>
      </c>
    </row>
    <row r="55" spans="1:4" hidden="1" x14ac:dyDescent="0.2">
      <c r="A55" s="30" t="s">
        <v>19</v>
      </c>
      <c r="B55" s="22"/>
      <c r="C55" s="39" t="s">
        <v>186</v>
      </c>
      <c r="D55" s="24">
        <f>SUM(D56:D57)</f>
        <v>0</v>
      </c>
    </row>
    <row r="56" spans="1:4" hidden="1" x14ac:dyDescent="0.2">
      <c r="A56" s="31" t="s">
        <v>303</v>
      </c>
      <c r="B56" s="32"/>
      <c r="C56" s="33" t="s">
        <v>18</v>
      </c>
      <c r="D56" s="35"/>
    </row>
    <row r="57" spans="1:4" hidden="1" x14ac:dyDescent="0.2">
      <c r="A57" s="31" t="s">
        <v>360</v>
      </c>
      <c r="B57" s="32"/>
      <c r="C57" s="33" t="s">
        <v>185</v>
      </c>
      <c r="D57" s="35">
        <f>1255-1255</f>
        <v>0</v>
      </c>
    </row>
    <row r="58" spans="1:4" x14ac:dyDescent="0.2">
      <c r="A58" s="30" t="s">
        <v>402</v>
      </c>
      <c r="B58" s="22"/>
      <c r="C58" s="39" t="s">
        <v>363</v>
      </c>
      <c r="D58" s="24">
        <f>SUM(D59:D61)</f>
        <v>2133</v>
      </c>
    </row>
    <row r="59" spans="1:4" hidden="1" x14ac:dyDescent="0.2">
      <c r="A59" s="31" t="s">
        <v>405</v>
      </c>
      <c r="B59" s="32"/>
      <c r="C59" s="33" t="s">
        <v>403</v>
      </c>
      <c r="D59" s="35"/>
    </row>
    <row r="60" spans="1:4" hidden="1" x14ac:dyDescent="0.2">
      <c r="A60" s="31" t="s">
        <v>406</v>
      </c>
      <c r="B60" s="32"/>
      <c r="C60" s="33" t="s">
        <v>404</v>
      </c>
      <c r="D60" s="35"/>
    </row>
    <row r="61" spans="1:4" x14ac:dyDescent="0.2">
      <c r="A61" s="31" t="s">
        <v>407</v>
      </c>
      <c r="B61" s="32"/>
      <c r="C61" s="33" t="s">
        <v>185</v>
      </c>
      <c r="D61" s="35">
        <f>1255+878</f>
        <v>2133</v>
      </c>
    </row>
    <row r="62" spans="1:4" ht="25.5" hidden="1" x14ac:dyDescent="0.2">
      <c r="A62" s="30" t="s">
        <v>370</v>
      </c>
      <c r="B62" s="22"/>
      <c r="C62" s="39" t="s">
        <v>187</v>
      </c>
      <c r="D62" s="77">
        <f>D63</f>
        <v>0</v>
      </c>
    </row>
    <row r="63" spans="1:4" hidden="1" x14ac:dyDescent="0.2">
      <c r="A63" s="30" t="s">
        <v>329</v>
      </c>
      <c r="B63" s="22"/>
      <c r="C63" s="23" t="s">
        <v>325</v>
      </c>
      <c r="D63" s="77">
        <f>D64</f>
        <v>0</v>
      </c>
    </row>
    <row r="64" spans="1:4" hidden="1" x14ac:dyDescent="0.2">
      <c r="A64" s="31" t="s">
        <v>330</v>
      </c>
      <c r="B64" s="32"/>
      <c r="C64" s="33" t="s">
        <v>185</v>
      </c>
      <c r="D64" s="35">
        <f>135+2-137</f>
        <v>0</v>
      </c>
    </row>
    <row r="65" spans="1:4" ht="25.5" x14ac:dyDescent="0.2">
      <c r="A65" s="30" t="s">
        <v>21</v>
      </c>
      <c r="B65" s="22"/>
      <c r="C65" s="39" t="s">
        <v>187</v>
      </c>
      <c r="D65" s="24">
        <f>D74+D66+D82+D70+D78+D80</f>
        <v>9784</v>
      </c>
    </row>
    <row r="66" spans="1:4" hidden="1" x14ac:dyDescent="0.2">
      <c r="A66" s="30" t="s">
        <v>22</v>
      </c>
      <c r="B66" s="22"/>
      <c r="C66" s="23" t="s">
        <v>188</v>
      </c>
      <c r="D66" s="24">
        <f>SUM(D67:D69)</f>
        <v>0</v>
      </c>
    </row>
    <row r="67" spans="1:4" hidden="1" x14ac:dyDescent="0.2">
      <c r="A67" s="31" t="s">
        <v>23</v>
      </c>
      <c r="B67" s="32"/>
      <c r="C67" s="33" t="s">
        <v>20</v>
      </c>
      <c r="D67" s="35"/>
    </row>
    <row r="68" spans="1:4" hidden="1" x14ac:dyDescent="0.2">
      <c r="A68" s="31" t="s">
        <v>257</v>
      </c>
      <c r="B68" s="32"/>
      <c r="C68" s="33" t="s">
        <v>256</v>
      </c>
      <c r="D68" s="35"/>
    </row>
    <row r="69" spans="1:4" hidden="1" x14ac:dyDescent="0.2">
      <c r="A69" s="31" t="s">
        <v>258</v>
      </c>
      <c r="B69" s="32"/>
      <c r="C69" s="33" t="s">
        <v>185</v>
      </c>
      <c r="D69" s="35"/>
    </row>
    <row r="70" spans="1:4" x14ac:dyDescent="0.2">
      <c r="A70" s="30" t="s">
        <v>277</v>
      </c>
      <c r="B70" s="22"/>
      <c r="C70" s="23" t="s">
        <v>279</v>
      </c>
      <c r="D70" s="24">
        <f>SUM(D71:D73)</f>
        <v>3770</v>
      </c>
    </row>
    <row r="71" spans="1:4" hidden="1" x14ac:dyDescent="0.2">
      <c r="A71" s="31" t="s">
        <v>278</v>
      </c>
      <c r="B71" s="32"/>
      <c r="C71" s="33" t="s">
        <v>20</v>
      </c>
      <c r="D71" s="35"/>
    </row>
    <row r="72" spans="1:4" x14ac:dyDescent="0.2">
      <c r="A72" s="31" t="s">
        <v>288</v>
      </c>
      <c r="B72" s="32"/>
      <c r="C72" s="33" t="s">
        <v>256</v>
      </c>
      <c r="D72" s="35">
        <v>3770</v>
      </c>
    </row>
    <row r="73" spans="1:4" hidden="1" x14ac:dyDescent="0.2">
      <c r="A73" s="31" t="s">
        <v>289</v>
      </c>
      <c r="B73" s="32"/>
      <c r="C73" s="33" t="s">
        <v>185</v>
      </c>
      <c r="D73" s="35">
        <v>0</v>
      </c>
    </row>
    <row r="74" spans="1:4" x14ac:dyDescent="0.2">
      <c r="A74" s="30" t="s">
        <v>24</v>
      </c>
      <c r="B74" s="22"/>
      <c r="C74" s="23" t="s">
        <v>25</v>
      </c>
      <c r="D74" s="24">
        <f>SUM(D75:D77)</f>
        <v>69</v>
      </c>
    </row>
    <row r="75" spans="1:4" hidden="1" x14ac:dyDescent="0.2">
      <c r="A75" s="31" t="s">
        <v>280</v>
      </c>
      <c r="B75" s="32"/>
      <c r="C75" s="33" t="s">
        <v>20</v>
      </c>
      <c r="D75" s="35"/>
    </row>
    <row r="76" spans="1:4" x14ac:dyDescent="0.2">
      <c r="A76" s="31" t="s">
        <v>281</v>
      </c>
      <c r="B76" s="32"/>
      <c r="C76" s="33" t="s">
        <v>256</v>
      </c>
      <c r="D76" s="35">
        <f>69</f>
        <v>69</v>
      </c>
    </row>
    <row r="77" spans="1:4" hidden="1" x14ac:dyDescent="0.2">
      <c r="A77" s="31" t="s">
        <v>26</v>
      </c>
      <c r="B77" s="32"/>
      <c r="C77" s="33" t="s">
        <v>185</v>
      </c>
      <c r="D77" s="35"/>
    </row>
    <row r="78" spans="1:4" x14ac:dyDescent="0.2">
      <c r="A78" s="47" t="s">
        <v>298</v>
      </c>
      <c r="B78" s="47"/>
      <c r="C78" s="48" t="s">
        <v>291</v>
      </c>
      <c r="D78" s="24">
        <f>SUM(D79)</f>
        <v>183</v>
      </c>
    </row>
    <row r="79" spans="1:4" x14ac:dyDescent="0.2">
      <c r="A79" s="50" t="s">
        <v>299</v>
      </c>
      <c r="B79" s="50"/>
      <c r="C79" s="51" t="s">
        <v>185</v>
      </c>
      <c r="D79" s="35">
        <v>183</v>
      </c>
    </row>
    <row r="80" spans="1:4" hidden="1" x14ac:dyDescent="0.2">
      <c r="A80" s="47" t="s">
        <v>329</v>
      </c>
      <c r="B80" s="47"/>
      <c r="C80" s="48" t="s">
        <v>325</v>
      </c>
      <c r="D80" s="24">
        <f>D81</f>
        <v>0</v>
      </c>
    </row>
    <row r="81" spans="1:4" hidden="1" x14ac:dyDescent="0.2">
      <c r="A81" s="50" t="s">
        <v>330</v>
      </c>
      <c r="B81" s="50"/>
      <c r="C81" s="51" t="s">
        <v>185</v>
      </c>
      <c r="D81" s="35"/>
    </row>
    <row r="82" spans="1:4" x14ac:dyDescent="0.2">
      <c r="A82" s="30" t="s">
        <v>27</v>
      </c>
      <c r="B82" s="22"/>
      <c r="C82" s="23" t="s">
        <v>186</v>
      </c>
      <c r="D82" s="24">
        <f>SUM(D83:D85)</f>
        <v>5762</v>
      </c>
    </row>
    <row r="83" spans="1:4" hidden="1" x14ac:dyDescent="0.2">
      <c r="A83" s="31" t="s">
        <v>282</v>
      </c>
      <c r="B83" s="32"/>
      <c r="C83" s="33" t="s">
        <v>20</v>
      </c>
      <c r="D83" s="27"/>
    </row>
    <row r="84" spans="1:4" x14ac:dyDescent="0.2">
      <c r="A84" s="31" t="s">
        <v>290</v>
      </c>
      <c r="B84" s="32"/>
      <c r="C84" s="33" t="s">
        <v>256</v>
      </c>
      <c r="D84" s="35">
        <v>5762</v>
      </c>
    </row>
    <row r="85" spans="1:4" hidden="1" x14ac:dyDescent="0.2">
      <c r="A85" s="31" t="s">
        <v>28</v>
      </c>
      <c r="B85" s="32"/>
      <c r="C85" s="33" t="s">
        <v>185</v>
      </c>
      <c r="D85" s="35">
        <v>0</v>
      </c>
    </row>
    <row r="86" spans="1:4" x14ac:dyDescent="0.2">
      <c r="A86" s="18"/>
      <c r="B86" s="18"/>
      <c r="C86" s="19" t="s">
        <v>30</v>
      </c>
      <c r="D86" s="20"/>
    </row>
    <row r="87" spans="1:4" x14ac:dyDescent="0.2">
      <c r="A87" s="18"/>
      <c r="B87" s="18" t="s">
        <v>189</v>
      </c>
      <c r="C87" s="19" t="s">
        <v>190</v>
      </c>
      <c r="D87" s="20">
        <f>D90+D117</f>
        <v>3481376</v>
      </c>
    </row>
    <row r="88" spans="1:4" x14ac:dyDescent="0.2">
      <c r="A88" s="18"/>
      <c r="B88" s="18" t="s">
        <v>191</v>
      </c>
      <c r="C88" s="19" t="s">
        <v>192</v>
      </c>
      <c r="D88" s="20">
        <f>D91+D118</f>
        <v>3544507</v>
      </c>
    </row>
    <row r="89" spans="1:4" ht="13.5" x14ac:dyDescent="0.2">
      <c r="A89" s="22"/>
      <c r="B89" s="22" t="s">
        <v>31</v>
      </c>
      <c r="C89" s="52" t="s">
        <v>32</v>
      </c>
      <c r="D89" s="24"/>
    </row>
    <row r="90" spans="1:4" x14ac:dyDescent="0.2">
      <c r="A90" s="22"/>
      <c r="B90" s="22" t="s">
        <v>189</v>
      </c>
      <c r="C90" s="53" t="s">
        <v>190</v>
      </c>
      <c r="D90" s="24">
        <f>D93+D96+D99+D102+D105+D108+D111+D114</f>
        <v>2771264</v>
      </c>
    </row>
    <row r="91" spans="1:4" x14ac:dyDescent="0.2">
      <c r="A91" s="22"/>
      <c r="B91" s="22" t="s">
        <v>191</v>
      </c>
      <c r="C91" s="53" t="s">
        <v>192</v>
      </c>
      <c r="D91" s="24">
        <f>D94+D97+D100+D103+D106+D109+D112+D115</f>
        <v>3138285</v>
      </c>
    </row>
    <row r="92" spans="1:4" x14ac:dyDescent="0.2">
      <c r="A92" s="22"/>
      <c r="B92" s="22">
        <v>10</v>
      </c>
      <c r="C92" s="23" t="s">
        <v>33</v>
      </c>
      <c r="D92" s="24"/>
    </row>
    <row r="93" spans="1:4" x14ac:dyDescent="0.2">
      <c r="A93" s="22"/>
      <c r="B93" s="22" t="s">
        <v>189</v>
      </c>
      <c r="C93" s="53" t="s">
        <v>190</v>
      </c>
      <c r="D93" s="24">
        <f t="shared" ref="D93:D94" si="3">D132</f>
        <v>947945</v>
      </c>
    </row>
    <row r="94" spans="1:4" x14ac:dyDescent="0.2">
      <c r="A94" s="22"/>
      <c r="B94" s="22" t="s">
        <v>191</v>
      </c>
      <c r="C94" s="53" t="s">
        <v>192</v>
      </c>
      <c r="D94" s="24">
        <f t="shared" si="3"/>
        <v>947945</v>
      </c>
    </row>
    <row r="95" spans="1:4" x14ac:dyDescent="0.2">
      <c r="A95" s="22"/>
      <c r="B95" s="22">
        <v>20</v>
      </c>
      <c r="C95" s="23" t="s">
        <v>193</v>
      </c>
      <c r="D95" s="24"/>
    </row>
    <row r="96" spans="1:4" x14ac:dyDescent="0.2">
      <c r="A96" s="22"/>
      <c r="B96" s="22" t="s">
        <v>189</v>
      </c>
      <c r="C96" s="53" t="s">
        <v>190</v>
      </c>
      <c r="D96" s="24">
        <f>D201+D492+D594</f>
        <v>644994</v>
      </c>
    </row>
    <row r="97" spans="1:4" x14ac:dyDescent="0.2">
      <c r="A97" s="22"/>
      <c r="B97" s="22" t="s">
        <v>191</v>
      </c>
      <c r="C97" s="53" t="s">
        <v>192</v>
      </c>
      <c r="D97" s="24">
        <f>D202+D493+D595</f>
        <v>644994</v>
      </c>
    </row>
    <row r="98" spans="1:4" ht="25.5" x14ac:dyDescent="0.2">
      <c r="A98" s="22"/>
      <c r="B98" s="22">
        <v>56</v>
      </c>
      <c r="C98" s="23" t="s">
        <v>194</v>
      </c>
      <c r="D98" s="24"/>
    </row>
    <row r="99" spans="1:4" x14ac:dyDescent="0.2">
      <c r="A99" s="22"/>
      <c r="B99" s="22" t="s">
        <v>189</v>
      </c>
      <c r="C99" s="53" t="s">
        <v>190</v>
      </c>
      <c r="D99" s="24">
        <f>D336+D618+D501</f>
        <v>256824</v>
      </c>
    </row>
    <row r="100" spans="1:4" x14ac:dyDescent="0.2">
      <c r="A100" s="22"/>
      <c r="B100" s="22" t="s">
        <v>191</v>
      </c>
      <c r="C100" s="53" t="s">
        <v>192</v>
      </c>
      <c r="D100" s="24">
        <f>D337+D619+D502</f>
        <v>730820</v>
      </c>
    </row>
    <row r="101" spans="1:4" hidden="1" x14ac:dyDescent="0.2">
      <c r="A101" s="22"/>
      <c r="B101" s="22">
        <v>57</v>
      </c>
      <c r="C101" s="23" t="s">
        <v>266</v>
      </c>
      <c r="D101" s="24"/>
    </row>
    <row r="102" spans="1:4" hidden="1" x14ac:dyDescent="0.2">
      <c r="A102" s="22"/>
      <c r="B102" s="22" t="s">
        <v>189</v>
      </c>
      <c r="C102" s="53" t="s">
        <v>190</v>
      </c>
      <c r="D102" s="24">
        <f>D363</f>
        <v>0</v>
      </c>
    </row>
    <row r="103" spans="1:4" hidden="1" x14ac:dyDescent="0.2">
      <c r="A103" s="22"/>
      <c r="B103" s="22" t="s">
        <v>191</v>
      </c>
      <c r="C103" s="53" t="s">
        <v>192</v>
      </c>
      <c r="D103" s="24">
        <f>D364</f>
        <v>0</v>
      </c>
    </row>
    <row r="104" spans="1:4" ht="38.25" x14ac:dyDescent="0.2">
      <c r="A104" s="22"/>
      <c r="B104" s="22" t="s">
        <v>34</v>
      </c>
      <c r="C104" s="23" t="s">
        <v>195</v>
      </c>
      <c r="D104" s="24"/>
    </row>
    <row r="105" spans="1:4" x14ac:dyDescent="0.2">
      <c r="A105" s="22"/>
      <c r="B105" s="22" t="s">
        <v>189</v>
      </c>
      <c r="C105" s="53" t="s">
        <v>190</v>
      </c>
      <c r="D105" s="24">
        <f>D372+D528+D627</f>
        <v>151687</v>
      </c>
    </row>
    <row r="106" spans="1:4" x14ac:dyDescent="0.2">
      <c r="A106" s="22"/>
      <c r="B106" s="22" t="s">
        <v>191</v>
      </c>
      <c r="C106" s="53" t="s">
        <v>192</v>
      </c>
      <c r="D106" s="24">
        <f>D373+D529+D628</f>
        <v>208604</v>
      </c>
    </row>
    <row r="107" spans="1:4" x14ac:dyDescent="0.2">
      <c r="A107" s="22"/>
      <c r="B107" s="22" t="s">
        <v>35</v>
      </c>
      <c r="C107" s="23" t="s">
        <v>36</v>
      </c>
      <c r="D107" s="24"/>
    </row>
    <row r="108" spans="1:4" x14ac:dyDescent="0.2">
      <c r="A108" s="22"/>
      <c r="B108" s="22" t="s">
        <v>189</v>
      </c>
      <c r="C108" s="53" t="s">
        <v>190</v>
      </c>
      <c r="D108" s="24">
        <f t="shared" ref="D108:D109" si="4">D438</f>
        <v>47064</v>
      </c>
    </row>
    <row r="109" spans="1:4" x14ac:dyDescent="0.2">
      <c r="A109" s="22"/>
      <c r="B109" s="22" t="s">
        <v>191</v>
      </c>
      <c r="C109" s="53" t="s">
        <v>192</v>
      </c>
      <c r="D109" s="24">
        <f t="shared" si="4"/>
        <v>47064</v>
      </c>
    </row>
    <row r="110" spans="1:4" ht="25.5" x14ac:dyDescent="0.2">
      <c r="A110" s="22"/>
      <c r="B110" s="22">
        <v>61</v>
      </c>
      <c r="C110" s="23" t="s">
        <v>314</v>
      </c>
      <c r="D110" s="24"/>
    </row>
    <row r="111" spans="1:4" x14ac:dyDescent="0.2">
      <c r="A111" s="22"/>
      <c r="B111" s="22" t="s">
        <v>189</v>
      </c>
      <c r="C111" s="53" t="s">
        <v>190</v>
      </c>
      <c r="D111" s="24">
        <f>D552</f>
        <v>628500</v>
      </c>
    </row>
    <row r="112" spans="1:4" x14ac:dyDescent="0.2">
      <c r="A112" s="22"/>
      <c r="B112" s="22" t="s">
        <v>191</v>
      </c>
      <c r="C112" s="53" t="s">
        <v>192</v>
      </c>
      <c r="D112" s="24">
        <f>D553</f>
        <v>473858</v>
      </c>
    </row>
    <row r="113" spans="1:4" ht="25.5" x14ac:dyDescent="0.2">
      <c r="A113" s="54"/>
      <c r="B113" s="54">
        <v>65</v>
      </c>
      <c r="C113" s="23" t="s">
        <v>196</v>
      </c>
      <c r="D113" s="24"/>
    </row>
    <row r="114" spans="1:4" x14ac:dyDescent="0.2">
      <c r="A114" s="54"/>
      <c r="B114" s="22" t="s">
        <v>189</v>
      </c>
      <c r="C114" s="53" t="s">
        <v>190</v>
      </c>
      <c r="D114" s="24">
        <f>D564</f>
        <v>94250</v>
      </c>
    </row>
    <row r="115" spans="1:4" x14ac:dyDescent="0.2">
      <c r="A115" s="54"/>
      <c r="B115" s="22" t="s">
        <v>191</v>
      </c>
      <c r="C115" s="53" t="s">
        <v>192</v>
      </c>
      <c r="D115" s="24">
        <f>D565</f>
        <v>85000</v>
      </c>
    </row>
    <row r="116" spans="1:4" x14ac:dyDescent="0.2">
      <c r="A116" s="22"/>
      <c r="B116" s="22">
        <v>70</v>
      </c>
      <c r="C116" s="53" t="s">
        <v>37</v>
      </c>
      <c r="D116" s="24"/>
    </row>
    <row r="117" spans="1:4" x14ac:dyDescent="0.2">
      <c r="A117" s="22"/>
      <c r="B117" s="22" t="s">
        <v>189</v>
      </c>
      <c r="C117" s="53" t="s">
        <v>190</v>
      </c>
      <c r="D117" s="24">
        <f>D450+D570+D603</f>
        <v>710112</v>
      </c>
    </row>
    <row r="118" spans="1:4" x14ac:dyDescent="0.2">
      <c r="A118" s="22"/>
      <c r="B118" s="22" t="s">
        <v>191</v>
      </c>
      <c r="C118" s="53" t="s">
        <v>192</v>
      </c>
      <c r="D118" s="24">
        <f>D451+D571+D604</f>
        <v>406222</v>
      </c>
    </row>
    <row r="119" spans="1:4" x14ac:dyDescent="0.2">
      <c r="A119" s="18"/>
      <c r="B119" s="18"/>
      <c r="C119" s="55" t="s">
        <v>319</v>
      </c>
      <c r="D119" s="20"/>
    </row>
    <row r="120" spans="1:4" x14ac:dyDescent="0.2">
      <c r="A120" s="18"/>
      <c r="B120" s="18" t="s">
        <v>189</v>
      </c>
      <c r="C120" s="55" t="s">
        <v>190</v>
      </c>
      <c r="D120" s="20">
        <f>D123+D483+D609</f>
        <v>3481376</v>
      </c>
    </row>
    <row r="121" spans="1:4" x14ac:dyDescent="0.2">
      <c r="A121" s="18"/>
      <c r="B121" s="18" t="s">
        <v>191</v>
      </c>
      <c r="C121" s="55" t="s">
        <v>192</v>
      </c>
      <c r="D121" s="20">
        <f>D124+D484+D610</f>
        <v>3544507</v>
      </c>
    </row>
    <row r="122" spans="1:4" x14ac:dyDescent="0.2">
      <c r="A122" s="22" t="s">
        <v>29</v>
      </c>
      <c r="B122" s="22"/>
      <c r="C122" s="53" t="s">
        <v>38</v>
      </c>
      <c r="D122" s="24"/>
    </row>
    <row r="123" spans="1:4" x14ac:dyDescent="0.2">
      <c r="A123" s="22"/>
      <c r="B123" s="22" t="s">
        <v>189</v>
      </c>
      <c r="C123" s="53" t="s">
        <v>190</v>
      </c>
      <c r="D123" s="24">
        <f t="shared" ref="D123" si="5">D126</f>
        <v>1844038</v>
      </c>
    </row>
    <row r="124" spans="1:4" x14ac:dyDescent="0.2">
      <c r="A124" s="22"/>
      <c r="B124" s="22" t="s">
        <v>191</v>
      </c>
      <c r="C124" s="53" t="s">
        <v>192</v>
      </c>
      <c r="D124" s="24">
        <f>D127</f>
        <v>1812199</v>
      </c>
    </row>
    <row r="125" spans="1:4" x14ac:dyDescent="0.2">
      <c r="A125" s="22" t="s">
        <v>29</v>
      </c>
      <c r="B125" s="22" t="s">
        <v>39</v>
      </c>
      <c r="C125" s="53" t="s">
        <v>197</v>
      </c>
      <c r="D125" s="24"/>
    </row>
    <row r="126" spans="1:4" x14ac:dyDescent="0.2">
      <c r="A126" s="22"/>
      <c r="B126" s="22" t="s">
        <v>189</v>
      </c>
      <c r="C126" s="53" t="s">
        <v>190</v>
      </c>
      <c r="D126" s="24">
        <f>D129+D450</f>
        <v>1844038</v>
      </c>
    </row>
    <row r="127" spans="1:4" x14ac:dyDescent="0.2">
      <c r="A127" s="22"/>
      <c r="B127" s="22" t="s">
        <v>191</v>
      </c>
      <c r="C127" s="53" t="s">
        <v>192</v>
      </c>
      <c r="D127" s="24">
        <f>D130+D451</f>
        <v>1812199</v>
      </c>
    </row>
    <row r="128" spans="1:4" x14ac:dyDescent="0.2">
      <c r="A128" s="22" t="s">
        <v>29</v>
      </c>
      <c r="B128" s="22" t="s">
        <v>31</v>
      </c>
      <c r="C128" s="53" t="s">
        <v>32</v>
      </c>
      <c r="D128" s="24"/>
    </row>
    <row r="129" spans="1:4" x14ac:dyDescent="0.2">
      <c r="A129" s="22"/>
      <c r="B129" s="22" t="s">
        <v>189</v>
      </c>
      <c r="C129" s="53" t="s">
        <v>190</v>
      </c>
      <c r="D129" s="24">
        <f>D132+D201+D336+D363+D372+D438</f>
        <v>1508527</v>
      </c>
    </row>
    <row r="130" spans="1:4" x14ac:dyDescent="0.2">
      <c r="A130" s="22"/>
      <c r="B130" s="22" t="s">
        <v>191</v>
      </c>
      <c r="C130" s="53" t="s">
        <v>192</v>
      </c>
      <c r="D130" s="24">
        <f>D133+D202+D337+D364+D373+D439</f>
        <v>1506147</v>
      </c>
    </row>
    <row r="131" spans="1:4" x14ac:dyDescent="0.2">
      <c r="A131" s="22" t="s">
        <v>29</v>
      </c>
      <c r="B131" s="22">
        <v>10</v>
      </c>
      <c r="C131" s="53" t="s">
        <v>33</v>
      </c>
      <c r="D131" s="24"/>
    </row>
    <row r="132" spans="1:4" x14ac:dyDescent="0.2">
      <c r="A132" s="22"/>
      <c r="B132" s="22" t="s">
        <v>189</v>
      </c>
      <c r="C132" s="53" t="s">
        <v>190</v>
      </c>
      <c r="D132" s="24">
        <f>D135+D174+D162</f>
        <v>947945</v>
      </c>
    </row>
    <row r="133" spans="1:4" x14ac:dyDescent="0.2">
      <c r="A133" s="22"/>
      <c r="B133" s="22" t="s">
        <v>191</v>
      </c>
      <c r="C133" s="53" t="s">
        <v>192</v>
      </c>
      <c r="D133" s="24">
        <f>D136+D175+D163</f>
        <v>947945</v>
      </c>
    </row>
    <row r="134" spans="1:4" x14ac:dyDescent="0.2">
      <c r="A134" s="22" t="s">
        <v>29</v>
      </c>
      <c r="B134" s="22" t="s">
        <v>40</v>
      </c>
      <c r="C134" s="53" t="s">
        <v>198</v>
      </c>
      <c r="D134" s="24"/>
    </row>
    <row r="135" spans="1:4" x14ac:dyDescent="0.2">
      <c r="A135" s="22"/>
      <c r="B135" s="22" t="s">
        <v>189</v>
      </c>
      <c r="C135" s="53" t="s">
        <v>190</v>
      </c>
      <c r="D135" s="24">
        <f>D138+D141+D144+D147+D150+D153+D159+D156</f>
        <v>910627</v>
      </c>
    </row>
    <row r="136" spans="1:4" x14ac:dyDescent="0.2">
      <c r="A136" s="22"/>
      <c r="B136" s="22" t="s">
        <v>191</v>
      </c>
      <c r="C136" s="53" t="s">
        <v>192</v>
      </c>
      <c r="D136" s="24">
        <f>D139+D142+D145+D148+D151+D154+D160+D157</f>
        <v>910627</v>
      </c>
    </row>
    <row r="137" spans="1:4" x14ac:dyDescent="0.2">
      <c r="A137" s="56" t="s">
        <v>29</v>
      </c>
      <c r="B137" s="56" t="s">
        <v>41</v>
      </c>
      <c r="C137" s="57" t="s">
        <v>199</v>
      </c>
      <c r="D137" s="27"/>
    </row>
    <row r="138" spans="1:4" x14ac:dyDescent="0.2">
      <c r="A138" s="56"/>
      <c r="B138" s="58" t="s">
        <v>189</v>
      </c>
      <c r="C138" s="59" t="s">
        <v>190</v>
      </c>
      <c r="D138" s="34">
        <f>755497+4304+5814-3161</f>
        <v>762454</v>
      </c>
    </row>
    <row r="139" spans="1:4" x14ac:dyDescent="0.2">
      <c r="A139" s="56"/>
      <c r="B139" s="60" t="s">
        <v>191</v>
      </c>
      <c r="C139" s="61" t="s">
        <v>192</v>
      </c>
      <c r="D139" s="34">
        <f>755497+4304+5814-3161</f>
        <v>762454</v>
      </c>
    </row>
    <row r="140" spans="1:4" x14ac:dyDescent="0.2">
      <c r="A140" s="56" t="s">
        <v>29</v>
      </c>
      <c r="B140" s="56" t="s">
        <v>300</v>
      </c>
      <c r="C140" s="57" t="s">
        <v>301</v>
      </c>
      <c r="D140" s="28"/>
    </row>
    <row r="141" spans="1:4" x14ac:dyDescent="0.2">
      <c r="A141" s="56"/>
      <c r="B141" s="58" t="s">
        <v>189</v>
      </c>
      <c r="C141" s="59" t="s">
        <v>190</v>
      </c>
      <c r="D141" s="34">
        <f>85257-2628-1716</f>
        <v>80913</v>
      </c>
    </row>
    <row r="142" spans="1:4" x14ac:dyDescent="0.2">
      <c r="A142" s="56"/>
      <c r="B142" s="60" t="s">
        <v>191</v>
      </c>
      <c r="C142" s="61" t="s">
        <v>192</v>
      </c>
      <c r="D142" s="34">
        <f>85257-2628-1716</f>
        <v>80913</v>
      </c>
    </row>
    <row r="143" spans="1:4" x14ac:dyDescent="0.2">
      <c r="A143" s="25" t="s">
        <v>29</v>
      </c>
      <c r="B143" s="25" t="s">
        <v>42</v>
      </c>
      <c r="C143" s="62" t="s">
        <v>43</v>
      </c>
      <c r="D143" s="28"/>
    </row>
    <row r="144" spans="1:4" x14ac:dyDescent="0.2">
      <c r="A144" s="25"/>
      <c r="B144" s="58" t="s">
        <v>189</v>
      </c>
      <c r="C144" s="59" t="s">
        <v>190</v>
      </c>
      <c r="D144" s="34">
        <f>10372-604+280</f>
        <v>10048</v>
      </c>
    </row>
    <row r="145" spans="1:4" x14ac:dyDescent="0.2">
      <c r="A145" s="25"/>
      <c r="B145" s="60" t="s">
        <v>191</v>
      </c>
      <c r="C145" s="61" t="s">
        <v>192</v>
      </c>
      <c r="D145" s="34">
        <f>10372-604+280</f>
        <v>10048</v>
      </c>
    </row>
    <row r="146" spans="1:4" x14ac:dyDescent="0.2">
      <c r="A146" s="25" t="s">
        <v>29</v>
      </c>
      <c r="B146" s="25" t="s">
        <v>44</v>
      </c>
      <c r="C146" s="62" t="s">
        <v>200</v>
      </c>
      <c r="D146" s="28"/>
    </row>
    <row r="147" spans="1:4" x14ac:dyDescent="0.2">
      <c r="A147" s="25"/>
      <c r="B147" s="58" t="s">
        <v>189</v>
      </c>
      <c r="C147" s="59" t="s">
        <v>190</v>
      </c>
      <c r="D147" s="34">
        <f>1649+33</f>
        <v>1682</v>
      </c>
    </row>
    <row r="148" spans="1:4" x14ac:dyDescent="0.2">
      <c r="A148" s="25"/>
      <c r="B148" s="60" t="s">
        <v>191</v>
      </c>
      <c r="C148" s="61" t="s">
        <v>192</v>
      </c>
      <c r="D148" s="34">
        <f>1649+33</f>
        <v>1682</v>
      </c>
    </row>
    <row r="149" spans="1:4" x14ac:dyDescent="0.2">
      <c r="A149" s="25" t="s">
        <v>29</v>
      </c>
      <c r="B149" s="25" t="s">
        <v>45</v>
      </c>
      <c r="C149" s="62" t="s">
        <v>263</v>
      </c>
      <c r="D149" s="28"/>
    </row>
    <row r="150" spans="1:4" x14ac:dyDescent="0.2">
      <c r="A150" s="25"/>
      <c r="B150" s="58" t="s">
        <v>189</v>
      </c>
      <c r="C150" s="59" t="s">
        <v>190</v>
      </c>
      <c r="D150" s="34">
        <f>1579-14+19</f>
        <v>1584</v>
      </c>
    </row>
    <row r="151" spans="1:4" x14ac:dyDescent="0.2">
      <c r="A151" s="25"/>
      <c r="B151" s="60" t="s">
        <v>191</v>
      </c>
      <c r="C151" s="61" t="s">
        <v>192</v>
      </c>
      <c r="D151" s="34">
        <f>1579-14+19</f>
        <v>1584</v>
      </c>
    </row>
    <row r="152" spans="1:4" hidden="1" x14ac:dyDescent="0.2">
      <c r="A152" s="25" t="s">
        <v>29</v>
      </c>
      <c r="B152" s="25" t="s">
        <v>46</v>
      </c>
      <c r="C152" s="62" t="s">
        <v>201</v>
      </c>
      <c r="D152" s="28"/>
    </row>
    <row r="153" spans="1:4" hidden="1" x14ac:dyDescent="0.2">
      <c r="A153" s="25"/>
      <c r="B153" s="58" t="s">
        <v>189</v>
      </c>
      <c r="C153" s="59" t="s">
        <v>190</v>
      </c>
      <c r="D153" s="34">
        <v>0</v>
      </c>
    </row>
    <row r="154" spans="1:4" hidden="1" x14ac:dyDescent="0.2">
      <c r="A154" s="25"/>
      <c r="B154" s="60" t="s">
        <v>191</v>
      </c>
      <c r="C154" s="61" t="s">
        <v>192</v>
      </c>
      <c r="D154" s="34">
        <v>0</v>
      </c>
    </row>
    <row r="155" spans="1:4" x14ac:dyDescent="0.2">
      <c r="A155" s="25" t="s">
        <v>29</v>
      </c>
      <c r="B155" s="25" t="s">
        <v>264</v>
      </c>
      <c r="C155" s="62" t="s">
        <v>265</v>
      </c>
      <c r="D155" s="28"/>
    </row>
    <row r="156" spans="1:4" x14ac:dyDescent="0.2">
      <c r="A156" s="25"/>
      <c r="B156" s="58" t="s">
        <v>189</v>
      </c>
      <c r="C156" s="59" t="s">
        <v>190</v>
      </c>
      <c r="D156" s="34">
        <f>31760-1234-353</f>
        <v>30173</v>
      </c>
    </row>
    <row r="157" spans="1:4" x14ac:dyDescent="0.2">
      <c r="A157" s="25"/>
      <c r="B157" s="60" t="s">
        <v>191</v>
      </c>
      <c r="C157" s="61" t="s">
        <v>192</v>
      </c>
      <c r="D157" s="34">
        <f>31760-1234-353</f>
        <v>30173</v>
      </c>
    </row>
    <row r="158" spans="1:4" x14ac:dyDescent="0.2">
      <c r="A158" s="25" t="s">
        <v>29</v>
      </c>
      <c r="B158" s="25" t="s">
        <v>47</v>
      </c>
      <c r="C158" s="62" t="s">
        <v>202</v>
      </c>
      <c r="D158" s="28"/>
    </row>
    <row r="159" spans="1:4" x14ac:dyDescent="0.2">
      <c r="A159" s="25"/>
      <c r="B159" s="58" t="s">
        <v>189</v>
      </c>
      <c r="C159" s="59" t="s">
        <v>190</v>
      </c>
      <c r="D159" s="34">
        <f>21710-100-3896+6059</f>
        <v>23773</v>
      </c>
    </row>
    <row r="160" spans="1:4" x14ac:dyDescent="0.2">
      <c r="A160" s="25"/>
      <c r="B160" s="60" t="s">
        <v>191</v>
      </c>
      <c r="C160" s="61" t="s">
        <v>192</v>
      </c>
      <c r="D160" s="34">
        <f>21710-100-3896+6059</f>
        <v>23773</v>
      </c>
    </row>
    <row r="161" spans="1:4" x14ac:dyDescent="0.2">
      <c r="A161" s="22" t="s">
        <v>29</v>
      </c>
      <c r="B161" s="22" t="s">
        <v>48</v>
      </c>
      <c r="C161" s="63" t="s">
        <v>203</v>
      </c>
      <c r="D161" s="24"/>
    </row>
    <row r="162" spans="1:4" x14ac:dyDescent="0.2">
      <c r="A162" s="22"/>
      <c r="B162" s="22" t="s">
        <v>189</v>
      </c>
      <c r="C162" s="53" t="s">
        <v>190</v>
      </c>
      <c r="D162" s="24">
        <f>D165+D168+D171</f>
        <v>14459</v>
      </c>
    </row>
    <row r="163" spans="1:4" x14ac:dyDescent="0.2">
      <c r="A163" s="22"/>
      <c r="B163" s="22" t="s">
        <v>191</v>
      </c>
      <c r="C163" s="53" t="s">
        <v>192</v>
      </c>
      <c r="D163" s="24">
        <f>D166+D169+D172</f>
        <v>14459</v>
      </c>
    </row>
    <row r="164" spans="1:4" x14ac:dyDescent="0.2">
      <c r="A164" s="58" t="s">
        <v>29</v>
      </c>
      <c r="B164" s="58" t="s">
        <v>400</v>
      </c>
      <c r="C164" s="64" t="s">
        <v>401</v>
      </c>
      <c r="D164" s="65"/>
    </row>
    <row r="165" spans="1:4" x14ac:dyDescent="0.2">
      <c r="A165" s="58"/>
      <c r="B165" s="58" t="s">
        <v>189</v>
      </c>
      <c r="C165" s="59" t="s">
        <v>190</v>
      </c>
      <c r="D165" s="34">
        <f>200+205</f>
        <v>405</v>
      </c>
    </row>
    <row r="166" spans="1:4" x14ac:dyDescent="0.2">
      <c r="A166" s="58"/>
      <c r="B166" s="60" t="s">
        <v>191</v>
      </c>
      <c r="C166" s="61" t="s">
        <v>192</v>
      </c>
      <c r="D166" s="34">
        <f>200+205</f>
        <v>405</v>
      </c>
    </row>
    <row r="167" spans="1:4" x14ac:dyDescent="0.2">
      <c r="A167" s="58" t="s">
        <v>29</v>
      </c>
      <c r="B167" s="58" t="s">
        <v>162</v>
      </c>
      <c r="C167" s="64" t="s">
        <v>163</v>
      </c>
      <c r="D167" s="65"/>
    </row>
    <row r="168" spans="1:4" x14ac:dyDescent="0.2">
      <c r="A168" s="58"/>
      <c r="B168" s="58" t="s">
        <v>189</v>
      </c>
      <c r="C168" s="59" t="s">
        <v>190</v>
      </c>
      <c r="D168" s="34">
        <f>13531+72-155</f>
        <v>13448</v>
      </c>
    </row>
    <row r="169" spans="1:4" x14ac:dyDescent="0.2">
      <c r="A169" s="58"/>
      <c r="B169" s="60" t="s">
        <v>191</v>
      </c>
      <c r="C169" s="61" t="s">
        <v>192</v>
      </c>
      <c r="D169" s="34">
        <f>13531+72-155</f>
        <v>13448</v>
      </c>
    </row>
    <row r="170" spans="1:4" x14ac:dyDescent="0.2">
      <c r="A170" s="58" t="s">
        <v>29</v>
      </c>
      <c r="B170" s="58" t="s">
        <v>323</v>
      </c>
      <c r="C170" s="62" t="s">
        <v>324</v>
      </c>
      <c r="D170" s="65"/>
    </row>
    <row r="171" spans="1:4" x14ac:dyDescent="0.2">
      <c r="A171" s="58"/>
      <c r="B171" s="58" t="s">
        <v>189</v>
      </c>
      <c r="C171" s="59" t="s">
        <v>190</v>
      </c>
      <c r="D171" s="34">
        <f>661-55</f>
        <v>606</v>
      </c>
    </row>
    <row r="172" spans="1:4" x14ac:dyDescent="0.2">
      <c r="A172" s="58"/>
      <c r="B172" s="60" t="s">
        <v>191</v>
      </c>
      <c r="C172" s="61" t="s">
        <v>192</v>
      </c>
      <c r="D172" s="34">
        <f>661-55</f>
        <v>606</v>
      </c>
    </row>
    <row r="173" spans="1:4" x14ac:dyDescent="0.2">
      <c r="A173" s="22" t="s">
        <v>29</v>
      </c>
      <c r="B173" s="22" t="s">
        <v>49</v>
      </c>
      <c r="C173" s="53" t="s">
        <v>204</v>
      </c>
      <c r="D173" s="66"/>
    </row>
    <row r="174" spans="1:4" x14ac:dyDescent="0.2">
      <c r="A174" s="22"/>
      <c r="B174" s="22" t="s">
        <v>189</v>
      </c>
      <c r="C174" s="53" t="s">
        <v>190</v>
      </c>
      <c r="D174" s="66">
        <f t="shared" ref="D174" si="6">D177+D180+D183+D186+D189+D192+D195+D198</f>
        <v>22859</v>
      </c>
    </row>
    <row r="175" spans="1:4" x14ac:dyDescent="0.2">
      <c r="A175" s="22"/>
      <c r="B175" s="22" t="s">
        <v>191</v>
      </c>
      <c r="C175" s="53" t="s">
        <v>192</v>
      </c>
      <c r="D175" s="66">
        <f>D178+D181+D184+D187+D190+D193+D196+D199</f>
        <v>22859</v>
      </c>
    </row>
    <row r="176" spans="1:4" x14ac:dyDescent="0.2">
      <c r="A176" s="32" t="s">
        <v>29</v>
      </c>
      <c r="B176" s="32" t="s">
        <v>50</v>
      </c>
      <c r="C176" s="67" t="s">
        <v>205</v>
      </c>
      <c r="D176" s="68"/>
    </row>
    <row r="177" spans="1:4" x14ac:dyDescent="0.2">
      <c r="A177" s="32"/>
      <c r="B177" s="58" t="s">
        <v>189</v>
      </c>
      <c r="C177" s="59" t="s">
        <v>190</v>
      </c>
      <c r="D177" s="34">
        <f>1106+25+12+472</f>
        <v>1615</v>
      </c>
    </row>
    <row r="178" spans="1:4" x14ac:dyDescent="0.2">
      <c r="A178" s="32"/>
      <c r="B178" s="60" t="s">
        <v>191</v>
      </c>
      <c r="C178" s="61" t="s">
        <v>192</v>
      </c>
      <c r="D178" s="34">
        <f>1106+25+12+472</f>
        <v>1615</v>
      </c>
    </row>
    <row r="179" spans="1:4" x14ac:dyDescent="0.2">
      <c r="A179" s="32" t="s">
        <v>29</v>
      </c>
      <c r="B179" s="32" t="s">
        <v>51</v>
      </c>
      <c r="C179" s="33" t="s">
        <v>52</v>
      </c>
      <c r="D179" s="34"/>
    </row>
    <row r="180" spans="1:4" x14ac:dyDescent="0.2">
      <c r="A180" s="32"/>
      <c r="B180" s="58" t="s">
        <v>189</v>
      </c>
      <c r="C180" s="59" t="s">
        <v>190</v>
      </c>
      <c r="D180" s="34">
        <f>40+2+1+14</f>
        <v>57</v>
      </c>
    </row>
    <row r="181" spans="1:4" x14ac:dyDescent="0.2">
      <c r="A181" s="32"/>
      <c r="B181" s="60" t="s">
        <v>191</v>
      </c>
      <c r="C181" s="61" t="s">
        <v>192</v>
      </c>
      <c r="D181" s="34">
        <f>40+2+1+14</f>
        <v>57</v>
      </c>
    </row>
    <row r="182" spans="1:4" x14ac:dyDescent="0.2">
      <c r="A182" s="32" t="s">
        <v>29</v>
      </c>
      <c r="B182" s="32" t="s">
        <v>53</v>
      </c>
      <c r="C182" s="33" t="s">
        <v>54</v>
      </c>
      <c r="D182" s="34"/>
    </row>
    <row r="183" spans="1:4" x14ac:dyDescent="0.2">
      <c r="A183" s="32"/>
      <c r="B183" s="58" t="s">
        <v>189</v>
      </c>
      <c r="C183" s="59" t="s">
        <v>190</v>
      </c>
      <c r="D183" s="34">
        <f>344+10+5+155</f>
        <v>514</v>
      </c>
    </row>
    <row r="184" spans="1:4" x14ac:dyDescent="0.2">
      <c r="A184" s="32"/>
      <c r="B184" s="60" t="s">
        <v>191</v>
      </c>
      <c r="C184" s="61" t="s">
        <v>192</v>
      </c>
      <c r="D184" s="34">
        <f>344+10+5+155</f>
        <v>514</v>
      </c>
    </row>
    <row r="185" spans="1:4" ht="25.5" x14ac:dyDescent="0.2">
      <c r="A185" s="32" t="s">
        <v>29</v>
      </c>
      <c r="B185" s="32" t="s">
        <v>55</v>
      </c>
      <c r="C185" s="33" t="s">
        <v>206</v>
      </c>
      <c r="D185" s="34"/>
    </row>
    <row r="186" spans="1:4" x14ac:dyDescent="0.2">
      <c r="A186" s="32"/>
      <c r="B186" s="58" t="s">
        <v>189</v>
      </c>
      <c r="C186" s="59" t="s">
        <v>190</v>
      </c>
      <c r="D186" s="34">
        <f>22+1+1+6</f>
        <v>30</v>
      </c>
    </row>
    <row r="187" spans="1:4" x14ac:dyDescent="0.2">
      <c r="A187" s="32"/>
      <c r="B187" s="60" t="s">
        <v>191</v>
      </c>
      <c r="C187" s="61" t="s">
        <v>192</v>
      </c>
      <c r="D187" s="34">
        <f>22+1+1+6</f>
        <v>30</v>
      </c>
    </row>
    <row r="188" spans="1:4" hidden="1" x14ac:dyDescent="0.2">
      <c r="A188" s="32" t="s">
        <v>29</v>
      </c>
      <c r="B188" s="32" t="s">
        <v>164</v>
      </c>
      <c r="C188" s="33" t="s">
        <v>165</v>
      </c>
      <c r="D188" s="34"/>
    </row>
    <row r="189" spans="1:4" hidden="1" x14ac:dyDescent="0.2">
      <c r="A189" s="32"/>
      <c r="B189" s="58" t="s">
        <v>189</v>
      </c>
      <c r="C189" s="59" t="s">
        <v>190</v>
      </c>
      <c r="D189" s="34">
        <v>0</v>
      </c>
    </row>
    <row r="190" spans="1:4" hidden="1" x14ac:dyDescent="0.2">
      <c r="A190" s="32"/>
      <c r="B190" s="60" t="s">
        <v>191</v>
      </c>
      <c r="C190" s="61" t="s">
        <v>192</v>
      </c>
      <c r="D190" s="34">
        <v>0</v>
      </c>
    </row>
    <row r="191" spans="1:4" x14ac:dyDescent="0.2">
      <c r="A191" s="32" t="s">
        <v>29</v>
      </c>
      <c r="B191" s="32" t="s">
        <v>56</v>
      </c>
      <c r="C191" s="33" t="s">
        <v>207</v>
      </c>
      <c r="D191" s="34"/>
    </row>
    <row r="192" spans="1:4" x14ac:dyDescent="0.2">
      <c r="A192" s="32"/>
      <c r="B192" s="58" t="s">
        <v>189</v>
      </c>
      <c r="C192" s="59" t="s">
        <v>190</v>
      </c>
      <c r="D192" s="34">
        <f>33+1+1+26</f>
        <v>61</v>
      </c>
    </row>
    <row r="193" spans="1:4" x14ac:dyDescent="0.2">
      <c r="A193" s="32"/>
      <c r="B193" s="60" t="s">
        <v>191</v>
      </c>
      <c r="C193" s="61" t="s">
        <v>192</v>
      </c>
      <c r="D193" s="34">
        <f>33+1+1+26</f>
        <v>61</v>
      </c>
    </row>
    <row r="194" spans="1:4" x14ac:dyDescent="0.2">
      <c r="A194" s="58" t="s">
        <v>29</v>
      </c>
      <c r="B194" s="58" t="s">
        <v>160</v>
      </c>
      <c r="C194" s="69" t="s">
        <v>161</v>
      </c>
      <c r="D194" s="70"/>
    </row>
    <row r="195" spans="1:4" x14ac:dyDescent="0.2">
      <c r="A195" s="58"/>
      <c r="B195" s="58" t="s">
        <v>189</v>
      </c>
      <c r="C195" s="59" t="s">
        <v>190</v>
      </c>
      <c r="D195" s="34">
        <f>20380-17-153+68</f>
        <v>20278</v>
      </c>
    </row>
    <row r="196" spans="1:4" x14ac:dyDescent="0.2">
      <c r="A196" s="58"/>
      <c r="B196" s="60" t="s">
        <v>191</v>
      </c>
      <c r="C196" s="61" t="s">
        <v>192</v>
      </c>
      <c r="D196" s="34">
        <f>20380-17-153+68</f>
        <v>20278</v>
      </c>
    </row>
    <row r="197" spans="1:4" x14ac:dyDescent="0.2">
      <c r="A197" s="58" t="s">
        <v>29</v>
      </c>
      <c r="B197" s="58" t="s">
        <v>166</v>
      </c>
      <c r="C197" s="69" t="s">
        <v>167</v>
      </c>
      <c r="D197" s="71"/>
    </row>
    <row r="198" spans="1:4" x14ac:dyDescent="0.2">
      <c r="A198" s="58"/>
      <c r="B198" s="58" t="s">
        <v>189</v>
      </c>
      <c r="C198" s="59" t="s">
        <v>190</v>
      </c>
      <c r="D198" s="35">
        <f>365-18-43</f>
        <v>304</v>
      </c>
    </row>
    <row r="199" spans="1:4" x14ac:dyDescent="0.2">
      <c r="A199" s="58"/>
      <c r="B199" s="60" t="s">
        <v>191</v>
      </c>
      <c r="C199" s="61" t="s">
        <v>192</v>
      </c>
      <c r="D199" s="35">
        <f>365-18-43</f>
        <v>304</v>
      </c>
    </row>
    <row r="200" spans="1:4" x14ac:dyDescent="0.2">
      <c r="A200" s="22" t="s">
        <v>29</v>
      </c>
      <c r="B200" s="72">
        <v>20</v>
      </c>
      <c r="C200" s="53" t="s">
        <v>208</v>
      </c>
      <c r="D200" s="66"/>
    </row>
    <row r="201" spans="1:4" x14ac:dyDescent="0.2">
      <c r="A201" s="22"/>
      <c r="B201" s="22" t="s">
        <v>189</v>
      </c>
      <c r="C201" s="53" t="s">
        <v>190</v>
      </c>
      <c r="D201" s="66">
        <f t="shared" ref="D201" si="7">D204+D240+D237+D246+D261+D273+D282+D285+D288+D291+D294+D297+D300+D303+D306+D312+D315</f>
        <v>504901</v>
      </c>
    </row>
    <row r="202" spans="1:4" x14ac:dyDescent="0.2">
      <c r="A202" s="22"/>
      <c r="B202" s="22" t="s">
        <v>191</v>
      </c>
      <c r="C202" s="53" t="s">
        <v>192</v>
      </c>
      <c r="D202" s="66">
        <f>D205+D241+D238+D247+D262+D274+D283+D286+D289+D292+D295+D298+D301+D304+D307+D313+D316</f>
        <v>504901</v>
      </c>
    </row>
    <row r="203" spans="1:4" x14ac:dyDescent="0.2">
      <c r="A203" s="22" t="s">
        <v>29</v>
      </c>
      <c r="B203" s="72" t="s">
        <v>57</v>
      </c>
      <c r="C203" s="23" t="s">
        <v>209</v>
      </c>
      <c r="D203" s="24"/>
    </row>
    <row r="204" spans="1:4" x14ac:dyDescent="0.2">
      <c r="A204" s="22"/>
      <c r="B204" s="22" t="s">
        <v>189</v>
      </c>
      <c r="C204" s="53" t="s">
        <v>190</v>
      </c>
      <c r="D204" s="24">
        <f t="shared" ref="D204:D205" si="8">D207+D210+D213+D216+D219+D222+D225+D228+D231+D234</f>
        <v>170934</v>
      </c>
    </row>
    <row r="205" spans="1:4" x14ac:dyDescent="0.2">
      <c r="A205" s="22"/>
      <c r="B205" s="22" t="s">
        <v>191</v>
      </c>
      <c r="C205" s="53" t="s">
        <v>192</v>
      </c>
      <c r="D205" s="24">
        <f t="shared" si="8"/>
        <v>170934</v>
      </c>
    </row>
    <row r="206" spans="1:4" x14ac:dyDescent="0.2">
      <c r="A206" s="32" t="s">
        <v>29</v>
      </c>
      <c r="B206" s="73" t="s">
        <v>58</v>
      </c>
      <c r="C206" s="33" t="s">
        <v>59</v>
      </c>
      <c r="D206" s="74"/>
    </row>
    <row r="207" spans="1:4" x14ac:dyDescent="0.2">
      <c r="A207" s="32"/>
      <c r="B207" s="58" t="s">
        <v>189</v>
      </c>
      <c r="C207" s="59" t="s">
        <v>190</v>
      </c>
      <c r="D207" s="34">
        <f>1964+50+61+64</f>
        <v>2139</v>
      </c>
    </row>
    <row r="208" spans="1:4" x14ac:dyDescent="0.2">
      <c r="A208" s="32"/>
      <c r="B208" s="60" t="s">
        <v>191</v>
      </c>
      <c r="C208" s="61" t="s">
        <v>192</v>
      </c>
      <c r="D208" s="34">
        <f>1964+50+61+64</f>
        <v>2139</v>
      </c>
    </row>
    <row r="209" spans="1:4" x14ac:dyDescent="0.2">
      <c r="A209" s="32" t="s">
        <v>29</v>
      </c>
      <c r="B209" s="73" t="s">
        <v>60</v>
      </c>
      <c r="C209" s="33" t="s">
        <v>210</v>
      </c>
      <c r="D209" s="75"/>
    </row>
    <row r="210" spans="1:4" x14ac:dyDescent="0.2">
      <c r="A210" s="32"/>
      <c r="B210" s="58" t="s">
        <v>189</v>
      </c>
      <c r="C210" s="59" t="s">
        <v>190</v>
      </c>
      <c r="D210" s="34">
        <f>1104+8+74+1</f>
        <v>1187</v>
      </c>
    </row>
    <row r="211" spans="1:4" x14ac:dyDescent="0.2">
      <c r="A211" s="32"/>
      <c r="B211" s="60" t="s">
        <v>191</v>
      </c>
      <c r="C211" s="61" t="s">
        <v>192</v>
      </c>
      <c r="D211" s="34">
        <f>1104+8+74+1</f>
        <v>1187</v>
      </c>
    </row>
    <row r="212" spans="1:4" x14ac:dyDescent="0.2">
      <c r="A212" s="32" t="s">
        <v>29</v>
      </c>
      <c r="B212" s="73" t="s">
        <v>61</v>
      </c>
      <c r="C212" s="33" t="s">
        <v>211</v>
      </c>
      <c r="D212" s="75"/>
    </row>
    <row r="213" spans="1:4" x14ac:dyDescent="0.2">
      <c r="A213" s="32"/>
      <c r="B213" s="58" t="s">
        <v>189</v>
      </c>
      <c r="C213" s="59" t="s">
        <v>190</v>
      </c>
      <c r="D213" s="34">
        <f>38985-334-343+1950</f>
        <v>40258</v>
      </c>
    </row>
    <row r="214" spans="1:4" x14ac:dyDescent="0.2">
      <c r="A214" s="32"/>
      <c r="B214" s="60" t="s">
        <v>191</v>
      </c>
      <c r="C214" s="61" t="s">
        <v>192</v>
      </c>
      <c r="D214" s="34">
        <f>38985-334-343+1950</f>
        <v>40258</v>
      </c>
    </row>
    <row r="215" spans="1:4" x14ac:dyDescent="0.2">
      <c r="A215" s="32" t="s">
        <v>29</v>
      </c>
      <c r="B215" s="73" t="s">
        <v>62</v>
      </c>
      <c r="C215" s="33" t="s">
        <v>212</v>
      </c>
      <c r="D215" s="75"/>
    </row>
    <row r="216" spans="1:4" x14ac:dyDescent="0.2">
      <c r="A216" s="32"/>
      <c r="B216" s="58" t="s">
        <v>189</v>
      </c>
      <c r="C216" s="59" t="s">
        <v>190</v>
      </c>
      <c r="D216" s="34">
        <f>2257+100+219+5</f>
        <v>2581</v>
      </c>
    </row>
    <row r="217" spans="1:4" x14ac:dyDescent="0.2">
      <c r="A217" s="32"/>
      <c r="B217" s="60" t="s">
        <v>191</v>
      </c>
      <c r="C217" s="61" t="s">
        <v>192</v>
      </c>
      <c r="D217" s="34">
        <f>2257+100+219+5</f>
        <v>2581</v>
      </c>
    </row>
    <row r="218" spans="1:4" x14ac:dyDescent="0.2">
      <c r="A218" s="32" t="s">
        <v>29</v>
      </c>
      <c r="B218" s="73" t="s">
        <v>63</v>
      </c>
      <c r="C218" s="33" t="s">
        <v>213</v>
      </c>
      <c r="D218" s="74"/>
    </row>
    <row r="219" spans="1:4" x14ac:dyDescent="0.2">
      <c r="A219" s="32"/>
      <c r="B219" s="58" t="s">
        <v>189</v>
      </c>
      <c r="C219" s="59" t="s">
        <v>190</v>
      </c>
      <c r="D219" s="34">
        <f>38686-24+650+225-196-60</f>
        <v>39281</v>
      </c>
    </row>
    <row r="220" spans="1:4" x14ac:dyDescent="0.2">
      <c r="A220" s="32"/>
      <c r="B220" s="60" t="s">
        <v>191</v>
      </c>
      <c r="C220" s="61" t="s">
        <v>192</v>
      </c>
      <c r="D220" s="34">
        <f>38686-24+650+225-196-60</f>
        <v>39281</v>
      </c>
    </row>
    <row r="221" spans="1:4" x14ac:dyDescent="0.2">
      <c r="A221" s="32" t="s">
        <v>29</v>
      </c>
      <c r="B221" s="73" t="s">
        <v>64</v>
      </c>
      <c r="C221" s="33" t="s">
        <v>65</v>
      </c>
      <c r="D221" s="75"/>
    </row>
    <row r="222" spans="1:4" x14ac:dyDescent="0.2">
      <c r="A222" s="32"/>
      <c r="B222" s="58" t="s">
        <v>189</v>
      </c>
      <c r="C222" s="59" t="s">
        <v>190</v>
      </c>
      <c r="D222" s="34">
        <f>15993-6+50-949+283+76</f>
        <v>15447</v>
      </c>
    </row>
    <row r="223" spans="1:4" x14ac:dyDescent="0.2">
      <c r="A223" s="32"/>
      <c r="B223" s="60" t="s">
        <v>191</v>
      </c>
      <c r="C223" s="61" t="s">
        <v>192</v>
      </c>
      <c r="D223" s="34">
        <f>15993-6+50-949+283+76</f>
        <v>15447</v>
      </c>
    </row>
    <row r="224" spans="1:4" x14ac:dyDescent="0.2">
      <c r="A224" s="32" t="s">
        <v>29</v>
      </c>
      <c r="B224" s="73" t="s">
        <v>66</v>
      </c>
      <c r="C224" s="33" t="s">
        <v>67</v>
      </c>
      <c r="D224" s="75"/>
    </row>
    <row r="225" spans="1:4" x14ac:dyDescent="0.2">
      <c r="A225" s="32"/>
      <c r="B225" s="58" t="s">
        <v>189</v>
      </c>
      <c r="C225" s="59" t="s">
        <v>190</v>
      </c>
      <c r="D225" s="34">
        <f>447+100-10-90</f>
        <v>447</v>
      </c>
    </row>
    <row r="226" spans="1:4" x14ac:dyDescent="0.2">
      <c r="A226" s="32"/>
      <c r="B226" s="60" t="s">
        <v>191</v>
      </c>
      <c r="C226" s="61" t="s">
        <v>192</v>
      </c>
      <c r="D226" s="34">
        <f>447+100-10-90</f>
        <v>447</v>
      </c>
    </row>
    <row r="227" spans="1:4" x14ac:dyDescent="0.2">
      <c r="A227" s="32" t="s">
        <v>29</v>
      </c>
      <c r="B227" s="73" t="s">
        <v>68</v>
      </c>
      <c r="C227" s="33" t="s">
        <v>214</v>
      </c>
      <c r="D227" s="75"/>
    </row>
    <row r="228" spans="1:4" x14ac:dyDescent="0.2">
      <c r="A228" s="32"/>
      <c r="B228" s="58" t="s">
        <v>189</v>
      </c>
      <c r="C228" s="59" t="s">
        <v>190</v>
      </c>
      <c r="D228" s="34">
        <f>4592-33+621+103+51</f>
        <v>5334</v>
      </c>
    </row>
    <row r="229" spans="1:4" x14ac:dyDescent="0.2">
      <c r="A229" s="32"/>
      <c r="B229" s="60" t="s">
        <v>191</v>
      </c>
      <c r="C229" s="61" t="s">
        <v>192</v>
      </c>
      <c r="D229" s="34">
        <f>4592-33+621+103+51</f>
        <v>5334</v>
      </c>
    </row>
    <row r="230" spans="1:4" x14ac:dyDescent="0.2">
      <c r="A230" s="32" t="s">
        <v>29</v>
      </c>
      <c r="B230" s="73" t="s">
        <v>69</v>
      </c>
      <c r="C230" s="33" t="s">
        <v>215</v>
      </c>
      <c r="D230" s="75"/>
    </row>
    <row r="231" spans="1:4" x14ac:dyDescent="0.2">
      <c r="A231" s="32"/>
      <c r="B231" s="58" t="s">
        <v>189</v>
      </c>
      <c r="C231" s="59" t="s">
        <v>190</v>
      </c>
      <c r="D231" s="34">
        <f>23655+600+740+144-679</f>
        <v>24460</v>
      </c>
    </row>
    <row r="232" spans="1:4" x14ac:dyDescent="0.2">
      <c r="A232" s="32"/>
      <c r="B232" s="60" t="s">
        <v>191</v>
      </c>
      <c r="C232" s="61" t="s">
        <v>192</v>
      </c>
      <c r="D232" s="34">
        <f>23655+600+740+144-679</f>
        <v>24460</v>
      </c>
    </row>
    <row r="233" spans="1:4" x14ac:dyDescent="0.2">
      <c r="A233" s="32" t="s">
        <v>29</v>
      </c>
      <c r="B233" s="73" t="s">
        <v>70</v>
      </c>
      <c r="C233" s="33" t="s">
        <v>216</v>
      </c>
      <c r="D233" s="74"/>
    </row>
    <row r="234" spans="1:4" x14ac:dyDescent="0.2">
      <c r="A234" s="32"/>
      <c r="B234" s="58" t="s">
        <v>189</v>
      </c>
      <c r="C234" s="59" t="s">
        <v>190</v>
      </c>
      <c r="D234" s="34">
        <f>37653-167+1920-589+983</f>
        <v>39800</v>
      </c>
    </row>
    <row r="235" spans="1:4" x14ac:dyDescent="0.2">
      <c r="A235" s="32"/>
      <c r="B235" s="60" t="s">
        <v>191</v>
      </c>
      <c r="C235" s="61" t="s">
        <v>192</v>
      </c>
      <c r="D235" s="34">
        <f>37653-167+1920-589+983</f>
        <v>39800</v>
      </c>
    </row>
    <row r="236" spans="1:4" x14ac:dyDescent="0.2">
      <c r="A236" s="40" t="s">
        <v>29</v>
      </c>
      <c r="B236" s="76" t="s">
        <v>71</v>
      </c>
      <c r="C236" s="41" t="s">
        <v>217</v>
      </c>
      <c r="D236" s="77"/>
    </row>
    <row r="237" spans="1:4" x14ac:dyDescent="0.2">
      <c r="A237" s="40"/>
      <c r="B237" s="22" t="s">
        <v>189</v>
      </c>
      <c r="C237" s="53" t="s">
        <v>190</v>
      </c>
      <c r="D237" s="24">
        <f>43193-229-138+996+4246</f>
        <v>48068</v>
      </c>
    </row>
    <row r="238" spans="1:4" x14ac:dyDescent="0.2">
      <c r="A238" s="40"/>
      <c r="B238" s="22" t="s">
        <v>191</v>
      </c>
      <c r="C238" s="53" t="s">
        <v>192</v>
      </c>
      <c r="D238" s="24">
        <f>43193-229-138+996+4246</f>
        <v>48068</v>
      </c>
    </row>
    <row r="239" spans="1:4" x14ac:dyDescent="0.2">
      <c r="A239" s="22" t="s">
        <v>29</v>
      </c>
      <c r="B239" s="78" t="s">
        <v>72</v>
      </c>
      <c r="C239" s="23" t="s">
        <v>218</v>
      </c>
      <c r="D239" s="24"/>
    </row>
    <row r="240" spans="1:4" x14ac:dyDescent="0.2">
      <c r="A240" s="22"/>
      <c r="B240" s="22" t="s">
        <v>189</v>
      </c>
      <c r="C240" s="53" t="s">
        <v>190</v>
      </c>
      <c r="D240" s="24">
        <f t="shared" ref="D240:D241" si="9">D243</f>
        <v>40</v>
      </c>
    </row>
    <row r="241" spans="1:4" x14ac:dyDescent="0.2">
      <c r="A241" s="22"/>
      <c r="B241" s="22" t="s">
        <v>191</v>
      </c>
      <c r="C241" s="53" t="s">
        <v>192</v>
      </c>
      <c r="D241" s="77">
        <f t="shared" si="9"/>
        <v>40</v>
      </c>
    </row>
    <row r="242" spans="1:4" x14ac:dyDescent="0.2">
      <c r="A242" s="32" t="s">
        <v>29</v>
      </c>
      <c r="B242" s="73" t="s">
        <v>73</v>
      </c>
      <c r="C242" s="33" t="s">
        <v>219</v>
      </c>
      <c r="D242" s="35"/>
    </row>
    <row r="243" spans="1:4" x14ac:dyDescent="0.2">
      <c r="A243" s="32"/>
      <c r="B243" s="58" t="s">
        <v>189</v>
      </c>
      <c r="C243" s="59" t="s">
        <v>190</v>
      </c>
      <c r="D243" s="35">
        <v>40</v>
      </c>
    </row>
    <row r="244" spans="1:4" x14ac:dyDescent="0.2">
      <c r="A244" s="32"/>
      <c r="B244" s="60" t="s">
        <v>191</v>
      </c>
      <c r="C244" s="61" t="s">
        <v>192</v>
      </c>
      <c r="D244" s="35">
        <v>40</v>
      </c>
    </row>
    <row r="245" spans="1:4" x14ac:dyDescent="0.2">
      <c r="A245" s="22" t="s">
        <v>29</v>
      </c>
      <c r="B245" s="72" t="s">
        <v>74</v>
      </c>
      <c r="C245" s="23" t="s">
        <v>75</v>
      </c>
      <c r="D245" s="24"/>
    </row>
    <row r="246" spans="1:4" x14ac:dyDescent="0.2">
      <c r="A246" s="22"/>
      <c r="B246" s="22" t="s">
        <v>189</v>
      </c>
      <c r="C246" s="53" t="s">
        <v>190</v>
      </c>
      <c r="D246" s="24">
        <f t="shared" ref="D246:D247" si="10">D249+D252+D255+D258</f>
        <v>2352</v>
      </c>
    </row>
    <row r="247" spans="1:4" x14ac:dyDescent="0.2">
      <c r="A247" s="22"/>
      <c r="B247" s="22" t="s">
        <v>191</v>
      </c>
      <c r="C247" s="53" t="s">
        <v>192</v>
      </c>
      <c r="D247" s="24">
        <f t="shared" si="10"/>
        <v>2352</v>
      </c>
    </row>
    <row r="248" spans="1:4" x14ac:dyDescent="0.2">
      <c r="A248" s="32" t="s">
        <v>29</v>
      </c>
      <c r="B248" s="73" t="s">
        <v>76</v>
      </c>
      <c r="C248" s="33" t="s">
        <v>77</v>
      </c>
      <c r="D248" s="35"/>
    </row>
    <row r="249" spans="1:4" x14ac:dyDescent="0.2">
      <c r="A249" s="32"/>
      <c r="B249" s="58" t="s">
        <v>189</v>
      </c>
      <c r="C249" s="59" t="s">
        <v>190</v>
      </c>
      <c r="D249" s="34">
        <f>30-3</f>
        <v>27</v>
      </c>
    </row>
    <row r="250" spans="1:4" x14ac:dyDescent="0.2">
      <c r="A250" s="32"/>
      <c r="B250" s="60" t="s">
        <v>191</v>
      </c>
      <c r="C250" s="61" t="s">
        <v>192</v>
      </c>
      <c r="D250" s="34">
        <f>30-3</f>
        <v>27</v>
      </c>
    </row>
    <row r="251" spans="1:4" x14ac:dyDescent="0.2">
      <c r="A251" s="32" t="s">
        <v>29</v>
      </c>
      <c r="B251" s="73" t="s">
        <v>78</v>
      </c>
      <c r="C251" s="33" t="s">
        <v>79</v>
      </c>
      <c r="D251" s="34"/>
    </row>
    <row r="252" spans="1:4" x14ac:dyDescent="0.2">
      <c r="A252" s="32"/>
      <c r="B252" s="58" t="s">
        <v>189</v>
      </c>
      <c r="C252" s="59" t="s">
        <v>190</v>
      </c>
      <c r="D252" s="34">
        <f>102-5+10+2</f>
        <v>109</v>
      </c>
    </row>
    <row r="253" spans="1:4" x14ac:dyDescent="0.2">
      <c r="A253" s="32"/>
      <c r="B253" s="60" t="s">
        <v>191</v>
      </c>
      <c r="C253" s="61" t="s">
        <v>192</v>
      </c>
      <c r="D253" s="34">
        <f>102-5+10+2</f>
        <v>109</v>
      </c>
    </row>
    <row r="254" spans="1:4" x14ac:dyDescent="0.2">
      <c r="A254" s="32" t="s">
        <v>29</v>
      </c>
      <c r="B254" s="73" t="s">
        <v>80</v>
      </c>
      <c r="C254" s="33" t="s">
        <v>81</v>
      </c>
      <c r="D254" s="34"/>
    </row>
    <row r="255" spans="1:4" x14ac:dyDescent="0.2">
      <c r="A255" s="32"/>
      <c r="B255" s="58" t="s">
        <v>189</v>
      </c>
      <c r="C255" s="59" t="s">
        <v>190</v>
      </c>
      <c r="D255" s="34">
        <f>2149+40+38-25</f>
        <v>2202</v>
      </c>
    </row>
    <row r="256" spans="1:4" x14ac:dyDescent="0.2">
      <c r="A256" s="32"/>
      <c r="B256" s="60" t="s">
        <v>191</v>
      </c>
      <c r="C256" s="61" t="s">
        <v>192</v>
      </c>
      <c r="D256" s="34">
        <f>2149+40+38-25</f>
        <v>2202</v>
      </c>
    </row>
    <row r="257" spans="1:4" x14ac:dyDescent="0.2">
      <c r="A257" s="32" t="s">
        <v>29</v>
      </c>
      <c r="B257" s="73" t="s">
        <v>82</v>
      </c>
      <c r="C257" s="33" t="s">
        <v>220</v>
      </c>
      <c r="D257" s="34"/>
    </row>
    <row r="258" spans="1:4" x14ac:dyDescent="0.2">
      <c r="A258" s="32"/>
      <c r="B258" s="58" t="s">
        <v>189</v>
      </c>
      <c r="C258" s="59" t="s">
        <v>190</v>
      </c>
      <c r="D258" s="34">
        <f>20+5-11</f>
        <v>14</v>
      </c>
    </row>
    <row r="259" spans="1:4" x14ac:dyDescent="0.2">
      <c r="A259" s="32"/>
      <c r="B259" s="60" t="s">
        <v>191</v>
      </c>
      <c r="C259" s="61" t="s">
        <v>192</v>
      </c>
      <c r="D259" s="35">
        <f>20+5-11</f>
        <v>14</v>
      </c>
    </row>
    <row r="260" spans="1:4" x14ac:dyDescent="0.2">
      <c r="A260" s="22" t="s">
        <v>29</v>
      </c>
      <c r="B260" s="72" t="s">
        <v>83</v>
      </c>
      <c r="C260" s="23" t="s">
        <v>84</v>
      </c>
      <c r="D260" s="24"/>
    </row>
    <row r="261" spans="1:4" x14ac:dyDescent="0.2">
      <c r="A261" s="22"/>
      <c r="B261" s="22" t="s">
        <v>189</v>
      </c>
      <c r="C261" s="53" t="s">
        <v>190</v>
      </c>
      <c r="D261" s="24">
        <f t="shared" ref="D261:D262" si="11">D264+D267+D270</f>
        <v>7176</v>
      </c>
    </row>
    <row r="262" spans="1:4" x14ac:dyDescent="0.2">
      <c r="A262" s="22"/>
      <c r="B262" s="22" t="s">
        <v>191</v>
      </c>
      <c r="C262" s="53" t="s">
        <v>192</v>
      </c>
      <c r="D262" s="24">
        <f t="shared" si="11"/>
        <v>7176</v>
      </c>
    </row>
    <row r="263" spans="1:4" x14ac:dyDescent="0.2">
      <c r="A263" s="32" t="s">
        <v>29</v>
      </c>
      <c r="B263" s="73" t="s">
        <v>85</v>
      </c>
      <c r="C263" s="33" t="s">
        <v>221</v>
      </c>
      <c r="D263" s="35"/>
    </row>
    <row r="264" spans="1:4" x14ac:dyDescent="0.2">
      <c r="A264" s="32"/>
      <c r="B264" s="58" t="s">
        <v>189</v>
      </c>
      <c r="C264" s="59" t="s">
        <v>190</v>
      </c>
      <c r="D264" s="34">
        <f>2792-30-114+10+290</f>
        <v>2948</v>
      </c>
    </row>
    <row r="265" spans="1:4" x14ac:dyDescent="0.2">
      <c r="A265" s="32"/>
      <c r="B265" s="60" t="s">
        <v>191</v>
      </c>
      <c r="C265" s="61" t="s">
        <v>192</v>
      </c>
      <c r="D265" s="34">
        <f>2792-30-114+10+290</f>
        <v>2948</v>
      </c>
    </row>
    <row r="266" spans="1:4" x14ac:dyDescent="0.2">
      <c r="A266" s="32" t="s">
        <v>29</v>
      </c>
      <c r="B266" s="73" t="s">
        <v>86</v>
      </c>
      <c r="C266" s="33" t="s">
        <v>222</v>
      </c>
      <c r="D266" s="34"/>
    </row>
    <row r="267" spans="1:4" x14ac:dyDescent="0.2">
      <c r="A267" s="32"/>
      <c r="B267" s="58" t="s">
        <v>189</v>
      </c>
      <c r="C267" s="59" t="s">
        <v>190</v>
      </c>
      <c r="D267" s="34">
        <f>119-19-1+94</f>
        <v>193</v>
      </c>
    </row>
    <row r="268" spans="1:4" x14ac:dyDescent="0.2">
      <c r="A268" s="32"/>
      <c r="B268" s="60" t="s">
        <v>191</v>
      </c>
      <c r="C268" s="61" t="s">
        <v>192</v>
      </c>
      <c r="D268" s="34">
        <f>119-19-1+94</f>
        <v>193</v>
      </c>
    </row>
    <row r="269" spans="1:4" x14ac:dyDescent="0.2">
      <c r="A269" s="32" t="s">
        <v>29</v>
      </c>
      <c r="B269" s="73" t="s">
        <v>87</v>
      </c>
      <c r="C269" s="33" t="s">
        <v>88</v>
      </c>
      <c r="D269" s="34"/>
    </row>
    <row r="270" spans="1:4" x14ac:dyDescent="0.2">
      <c r="A270" s="32"/>
      <c r="B270" s="58" t="s">
        <v>189</v>
      </c>
      <c r="C270" s="59" t="s">
        <v>190</v>
      </c>
      <c r="D270" s="34">
        <f>4031-32-150+153+33</f>
        <v>4035</v>
      </c>
    </row>
    <row r="271" spans="1:4" x14ac:dyDescent="0.2">
      <c r="A271" s="32"/>
      <c r="B271" s="60" t="s">
        <v>191</v>
      </c>
      <c r="C271" s="61" t="s">
        <v>192</v>
      </c>
      <c r="D271" s="34">
        <f>4031-32-150+153+33</f>
        <v>4035</v>
      </c>
    </row>
    <row r="272" spans="1:4" x14ac:dyDescent="0.2">
      <c r="A272" s="22" t="s">
        <v>29</v>
      </c>
      <c r="B272" s="72" t="s">
        <v>89</v>
      </c>
      <c r="C272" s="23" t="s">
        <v>223</v>
      </c>
      <c r="D272" s="24"/>
    </row>
    <row r="273" spans="1:4" x14ac:dyDescent="0.2">
      <c r="A273" s="22"/>
      <c r="B273" s="22" t="s">
        <v>189</v>
      </c>
      <c r="C273" s="53" t="s">
        <v>190</v>
      </c>
      <c r="D273" s="24">
        <f t="shared" ref="D273:D274" si="12">D276+D279</f>
        <v>3965</v>
      </c>
    </row>
    <row r="274" spans="1:4" x14ac:dyDescent="0.2">
      <c r="A274" s="22"/>
      <c r="B274" s="22" t="s">
        <v>191</v>
      </c>
      <c r="C274" s="53" t="s">
        <v>192</v>
      </c>
      <c r="D274" s="24">
        <f t="shared" si="12"/>
        <v>3965</v>
      </c>
    </row>
    <row r="275" spans="1:4" x14ac:dyDescent="0.2">
      <c r="A275" s="32" t="s">
        <v>29</v>
      </c>
      <c r="B275" s="73" t="s">
        <v>90</v>
      </c>
      <c r="C275" s="33" t="s">
        <v>224</v>
      </c>
      <c r="D275" s="35"/>
    </row>
    <row r="276" spans="1:4" x14ac:dyDescent="0.2">
      <c r="A276" s="32"/>
      <c r="B276" s="58" t="s">
        <v>189</v>
      </c>
      <c r="C276" s="59" t="s">
        <v>190</v>
      </c>
      <c r="D276" s="34">
        <f>3813-249-11</f>
        <v>3553</v>
      </c>
    </row>
    <row r="277" spans="1:4" x14ac:dyDescent="0.2">
      <c r="A277" s="32"/>
      <c r="B277" s="60" t="s">
        <v>191</v>
      </c>
      <c r="C277" s="61" t="s">
        <v>192</v>
      </c>
      <c r="D277" s="34">
        <f>3813-249-11</f>
        <v>3553</v>
      </c>
    </row>
    <row r="278" spans="1:4" x14ac:dyDescent="0.2">
      <c r="A278" s="32" t="s">
        <v>29</v>
      </c>
      <c r="B278" s="73" t="s">
        <v>91</v>
      </c>
      <c r="C278" s="33" t="s">
        <v>225</v>
      </c>
      <c r="D278" s="34"/>
    </row>
    <row r="279" spans="1:4" x14ac:dyDescent="0.2">
      <c r="A279" s="32"/>
      <c r="B279" s="58" t="s">
        <v>189</v>
      </c>
      <c r="C279" s="59" t="s">
        <v>190</v>
      </c>
      <c r="D279" s="34">
        <f>441-30+1</f>
        <v>412</v>
      </c>
    </row>
    <row r="280" spans="1:4" x14ac:dyDescent="0.2">
      <c r="A280" s="32"/>
      <c r="B280" s="60" t="s">
        <v>191</v>
      </c>
      <c r="C280" s="61" t="s">
        <v>192</v>
      </c>
      <c r="D280" s="34">
        <f>441-30+1</f>
        <v>412</v>
      </c>
    </row>
    <row r="281" spans="1:4" x14ac:dyDescent="0.2">
      <c r="A281" s="40" t="s">
        <v>29</v>
      </c>
      <c r="B281" s="76" t="s">
        <v>92</v>
      </c>
      <c r="C281" s="41" t="s">
        <v>93</v>
      </c>
      <c r="D281" s="77"/>
    </row>
    <row r="282" spans="1:4" x14ac:dyDescent="0.2">
      <c r="A282" s="40"/>
      <c r="B282" s="22" t="s">
        <v>189</v>
      </c>
      <c r="C282" s="53" t="s">
        <v>190</v>
      </c>
      <c r="D282" s="77">
        <f>2232-100+40+2-34</f>
        <v>2140</v>
      </c>
    </row>
    <row r="283" spans="1:4" x14ac:dyDescent="0.2">
      <c r="A283" s="40"/>
      <c r="B283" s="22" t="s">
        <v>191</v>
      </c>
      <c r="C283" s="53" t="s">
        <v>192</v>
      </c>
      <c r="D283" s="77">
        <f>2232-100+40+2-34</f>
        <v>2140</v>
      </c>
    </row>
    <row r="284" spans="1:4" x14ac:dyDescent="0.2">
      <c r="A284" s="40" t="s">
        <v>29</v>
      </c>
      <c r="B284" s="76" t="s">
        <v>94</v>
      </c>
      <c r="C284" s="41" t="s">
        <v>226</v>
      </c>
      <c r="D284" s="77"/>
    </row>
    <row r="285" spans="1:4" x14ac:dyDescent="0.2">
      <c r="A285" s="40"/>
      <c r="B285" s="22" t="s">
        <v>189</v>
      </c>
      <c r="C285" s="53" t="s">
        <v>190</v>
      </c>
      <c r="D285" s="24">
        <f>431-23-5+2</f>
        <v>405</v>
      </c>
    </row>
    <row r="286" spans="1:4" x14ac:dyDescent="0.2">
      <c r="A286" s="40"/>
      <c r="B286" s="22" t="s">
        <v>191</v>
      </c>
      <c r="C286" s="53" t="s">
        <v>192</v>
      </c>
      <c r="D286" s="24">
        <f>431-23-5+2</f>
        <v>405</v>
      </c>
    </row>
    <row r="287" spans="1:4" x14ac:dyDescent="0.2">
      <c r="A287" s="40" t="s">
        <v>29</v>
      </c>
      <c r="B287" s="76" t="s">
        <v>95</v>
      </c>
      <c r="C287" s="41" t="s">
        <v>227</v>
      </c>
      <c r="D287" s="77"/>
    </row>
    <row r="288" spans="1:4" x14ac:dyDescent="0.2">
      <c r="A288" s="40"/>
      <c r="B288" s="22" t="s">
        <v>189</v>
      </c>
      <c r="C288" s="53" t="s">
        <v>190</v>
      </c>
      <c r="D288" s="24">
        <f>4540-95-36+250+266+197+416</f>
        <v>5538</v>
      </c>
    </row>
    <row r="289" spans="1:4" x14ac:dyDescent="0.2">
      <c r="A289" s="40"/>
      <c r="B289" s="22" t="s">
        <v>191</v>
      </c>
      <c r="C289" s="53" t="s">
        <v>192</v>
      </c>
      <c r="D289" s="24">
        <f>4540-95-36+250+266+197+416</f>
        <v>5538</v>
      </c>
    </row>
    <row r="290" spans="1:4" x14ac:dyDescent="0.2">
      <c r="A290" s="40" t="s">
        <v>29</v>
      </c>
      <c r="B290" s="76" t="s">
        <v>96</v>
      </c>
      <c r="C290" s="41" t="s">
        <v>228</v>
      </c>
      <c r="D290" s="77"/>
    </row>
    <row r="291" spans="1:4" x14ac:dyDescent="0.2">
      <c r="A291" s="40"/>
      <c r="B291" s="22" t="s">
        <v>189</v>
      </c>
      <c r="C291" s="53" t="s">
        <v>190</v>
      </c>
      <c r="D291" s="24">
        <f>2870-150-10+30</f>
        <v>2740</v>
      </c>
    </row>
    <row r="292" spans="1:4" x14ac:dyDescent="0.2">
      <c r="A292" s="40"/>
      <c r="B292" s="22" t="s">
        <v>191</v>
      </c>
      <c r="C292" s="53" t="s">
        <v>192</v>
      </c>
      <c r="D292" s="24">
        <f>2870-150-10+30</f>
        <v>2740</v>
      </c>
    </row>
    <row r="293" spans="1:4" x14ac:dyDescent="0.2">
      <c r="A293" s="40" t="s">
        <v>29</v>
      </c>
      <c r="B293" s="76" t="s">
        <v>97</v>
      </c>
      <c r="C293" s="41" t="s">
        <v>229</v>
      </c>
      <c r="D293" s="77"/>
    </row>
    <row r="294" spans="1:4" x14ac:dyDescent="0.2">
      <c r="A294" s="40"/>
      <c r="B294" s="22" t="s">
        <v>189</v>
      </c>
      <c r="C294" s="53" t="s">
        <v>190</v>
      </c>
      <c r="D294" s="24">
        <f>2811-11+115-8</f>
        <v>2907</v>
      </c>
    </row>
    <row r="295" spans="1:4" x14ac:dyDescent="0.2">
      <c r="A295" s="40"/>
      <c r="B295" s="22" t="s">
        <v>191</v>
      </c>
      <c r="C295" s="53" t="s">
        <v>192</v>
      </c>
      <c r="D295" s="24">
        <f>2811-11+115-8</f>
        <v>2907</v>
      </c>
    </row>
    <row r="296" spans="1:4" x14ac:dyDescent="0.2">
      <c r="A296" s="40" t="s">
        <v>29</v>
      </c>
      <c r="B296" s="76" t="s">
        <v>98</v>
      </c>
      <c r="C296" s="41" t="s">
        <v>230</v>
      </c>
      <c r="D296" s="77"/>
    </row>
    <row r="297" spans="1:4" x14ac:dyDescent="0.2">
      <c r="A297" s="40"/>
      <c r="B297" s="22" t="s">
        <v>189</v>
      </c>
      <c r="C297" s="53" t="s">
        <v>190</v>
      </c>
      <c r="D297" s="77">
        <f>7384-178+12-51-357</f>
        <v>6810</v>
      </c>
    </row>
    <row r="298" spans="1:4" x14ac:dyDescent="0.2">
      <c r="A298" s="40"/>
      <c r="B298" s="22" t="s">
        <v>191</v>
      </c>
      <c r="C298" s="53" t="s">
        <v>192</v>
      </c>
      <c r="D298" s="77">
        <f>7384-178+12-51-357</f>
        <v>6810</v>
      </c>
    </row>
    <row r="299" spans="1:4" x14ac:dyDescent="0.2">
      <c r="A299" s="40" t="s">
        <v>29</v>
      </c>
      <c r="B299" s="76" t="s">
        <v>99</v>
      </c>
      <c r="C299" s="41" t="s">
        <v>231</v>
      </c>
      <c r="D299" s="77"/>
    </row>
    <row r="300" spans="1:4" x14ac:dyDescent="0.2">
      <c r="A300" s="40"/>
      <c r="B300" s="22" t="s">
        <v>189</v>
      </c>
      <c r="C300" s="53" t="s">
        <v>190</v>
      </c>
      <c r="D300" s="24">
        <f>3055-595+100-370</f>
        <v>2190</v>
      </c>
    </row>
    <row r="301" spans="1:4" x14ac:dyDescent="0.2">
      <c r="A301" s="40"/>
      <c r="B301" s="22" t="s">
        <v>191</v>
      </c>
      <c r="C301" s="53" t="s">
        <v>192</v>
      </c>
      <c r="D301" s="24">
        <f>3055-595+100-370</f>
        <v>2190</v>
      </c>
    </row>
    <row r="302" spans="1:4" x14ac:dyDescent="0.2">
      <c r="A302" s="40" t="s">
        <v>29</v>
      </c>
      <c r="B302" s="76" t="s">
        <v>100</v>
      </c>
      <c r="C302" s="41" t="s">
        <v>232</v>
      </c>
      <c r="D302" s="24"/>
    </row>
    <row r="303" spans="1:4" x14ac:dyDescent="0.2">
      <c r="A303" s="40"/>
      <c r="B303" s="22" t="s">
        <v>189</v>
      </c>
      <c r="C303" s="53" t="s">
        <v>190</v>
      </c>
      <c r="D303" s="24">
        <f>2849+114</f>
        <v>2963</v>
      </c>
    </row>
    <row r="304" spans="1:4" x14ac:dyDescent="0.2">
      <c r="A304" s="40"/>
      <c r="B304" s="22" t="s">
        <v>191</v>
      </c>
      <c r="C304" s="53" t="s">
        <v>192</v>
      </c>
      <c r="D304" s="24">
        <f>2849+114</f>
        <v>2963</v>
      </c>
    </row>
    <row r="305" spans="1:4" hidden="1" x14ac:dyDescent="0.2">
      <c r="A305" s="22" t="s">
        <v>29</v>
      </c>
      <c r="B305" s="72" t="s">
        <v>101</v>
      </c>
      <c r="C305" s="23" t="s">
        <v>233</v>
      </c>
      <c r="D305" s="24"/>
    </row>
    <row r="306" spans="1:4" hidden="1" x14ac:dyDescent="0.2">
      <c r="A306" s="22"/>
      <c r="B306" s="22" t="s">
        <v>189</v>
      </c>
      <c r="C306" s="53" t="s">
        <v>190</v>
      </c>
      <c r="D306" s="24">
        <v>0</v>
      </c>
    </row>
    <row r="307" spans="1:4" hidden="1" x14ac:dyDescent="0.2">
      <c r="A307" s="22"/>
      <c r="B307" s="22" t="s">
        <v>191</v>
      </c>
      <c r="C307" s="53" t="s">
        <v>192</v>
      </c>
      <c r="D307" s="24">
        <v>0</v>
      </c>
    </row>
    <row r="308" spans="1:4" hidden="1" x14ac:dyDescent="0.2">
      <c r="A308" s="32" t="s">
        <v>29</v>
      </c>
      <c r="B308" s="73" t="s">
        <v>102</v>
      </c>
      <c r="C308" s="33" t="s">
        <v>234</v>
      </c>
      <c r="D308" s="28"/>
    </row>
    <row r="309" spans="1:4" hidden="1" x14ac:dyDescent="0.2">
      <c r="A309" s="32"/>
      <c r="B309" s="58" t="s">
        <v>189</v>
      </c>
      <c r="C309" s="59" t="s">
        <v>190</v>
      </c>
      <c r="D309" s="28">
        <v>0</v>
      </c>
    </row>
    <row r="310" spans="1:4" hidden="1" x14ac:dyDescent="0.2">
      <c r="A310" s="32"/>
      <c r="B310" s="60" t="s">
        <v>191</v>
      </c>
      <c r="C310" s="61" t="s">
        <v>192</v>
      </c>
      <c r="D310" s="28">
        <v>0</v>
      </c>
    </row>
    <row r="311" spans="1:4" ht="25.5" x14ac:dyDescent="0.2">
      <c r="A311" s="40" t="s">
        <v>29</v>
      </c>
      <c r="B311" s="76" t="s">
        <v>103</v>
      </c>
      <c r="C311" s="41" t="s">
        <v>235</v>
      </c>
      <c r="D311" s="24"/>
    </row>
    <row r="312" spans="1:4" x14ac:dyDescent="0.2">
      <c r="A312" s="40"/>
      <c r="B312" s="22" t="s">
        <v>189</v>
      </c>
      <c r="C312" s="53" t="s">
        <v>190</v>
      </c>
      <c r="D312" s="24">
        <f>5213+200-100-55</f>
        <v>5258</v>
      </c>
    </row>
    <row r="313" spans="1:4" x14ac:dyDescent="0.2">
      <c r="A313" s="40"/>
      <c r="B313" s="22" t="s">
        <v>191</v>
      </c>
      <c r="C313" s="53" t="s">
        <v>192</v>
      </c>
      <c r="D313" s="24">
        <f>5213+200-100-55</f>
        <v>5258</v>
      </c>
    </row>
    <row r="314" spans="1:4" x14ac:dyDescent="0.2">
      <c r="A314" s="22" t="s">
        <v>29</v>
      </c>
      <c r="B314" s="72" t="s">
        <v>104</v>
      </c>
      <c r="C314" s="23" t="s">
        <v>105</v>
      </c>
      <c r="D314" s="24"/>
    </row>
    <row r="315" spans="1:4" x14ac:dyDescent="0.2">
      <c r="A315" s="22"/>
      <c r="B315" s="22" t="s">
        <v>189</v>
      </c>
      <c r="C315" s="53" t="s">
        <v>190</v>
      </c>
      <c r="D315" s="24">
        <f t="shared" ref="D315:D316" si="13">D318+D321+D324+D327+D330+D333</f>
        <v>241415</v>
      </c>
    </row>
    <row r="316" spans="1:4" x14ac:dyDescent="0.2">
      <c r="A316" s="22"/>
      <c r="B316" s="22" t="s">
        <v>191</v>
      </c>
      <c r="C316" s="53" t="s">
        <v>192</v>
      </c>
      <c r="D316" s="24">
        <f t="shared" si="13"/>
        <v>241415</v>
      </c>
    </row>
    <row r="317" spans="1:4" x14ac:dyDescent="0.2">
      <c r="A317" s="32" t="s">
        <v>29</v>
      </c>
      <c r="B317" s="73" t="s">
        <v>106</v>
      </c>
      <c r="C317" s="33" t="s">
        <v>236</v>
      </c>
      <c r="D317" s="35"/>
    </row>
    <row r="318" spans="1:4" x14ac:dyDescent="0.2">
      <c r="A318" s="32"/>
      <c r="B318" s="58" t="s">
        <v>189</v>
      </c>
      <c r="C318" s="59" t="s">
        <v>190</v>
      </c>
      <c r="D318" s="34">
        <f>2045-423-15+29</f>
        <v>1636</v>
      </c>
    </row>
    <row r="319" spans="1:4" x14ac:dyDescent="0.2">
      <c r="A319" s="32"/>
      <c r="B319" s="60" t="s">
        <v>191</v>
      </c>
      <c r="C319" s="61" t="s">
        <v>192</v>
      </c>
      <c r="D319" s="28">
        <f>2045-423-15+29</f>
        <v>1636</v>
      </c>
    </row>
    <row r="320" spans="1:4" x14ac:dyDescent="0.2">
      <c r="A320" s="32" t="s">
        <v>29</v>
      </c>
      <c r="B320" s="73" t="s">
        <v>107</v>
      </c>
      <c r="C320" s="33" t="s">
        <v>237</v>
      </c>
      <c r="D320" s="34"/>
    </row>
    <row r="321" spans="1:4" x14ac:dyDescent="0.2">
      <c r="A321" s="32"/>
      <c r="B321" s="58" t="s">
        <v>189</v>
      </c>
      <c r="C321" s="59" t="s">
        <v>190</v>
      </c>
      <c r="D321" s="34">
        <f>1982-24-29+50</f>
        <v>1979</v>
      </c>
    </row>
    <row r="322" spans="1:4" x14ac:dyDescent="0.2">
      <c r="A322" s="32"/>
      <c r="B322" s="60" t="s">
        <v>191</v>
      </c>
      <c r="C322" s="61" t="s">
        <v>192</v>
      </c>
      <c r="D322" s="28">
        <f>1982-24-29+50</f>
        <v>1979</v>
      </c>
    </row>
    <row r="323" spans="1:4" x14ac:dyDescent="0.2">
      <c r="A323" s="32" t="s">
        <v>29</v>
      </c>
      <c r="B323" s="73" t="s">
        <v>108</v>
      </c>
      <c r="C323" s="33" t="s">
        <v>238</v>
      </c>
      <c r="D323" s="34"/>
    </row>
    <row r="324" spans="1:4" x14ac:dyDescent="0.2">
      <c r="A324" s="32"/>
      <c r="B324" s="58" t="s">
        <v>189</v>
      </c>
      <c r="C324" s="59" t="s">
        <v>190</v>
      </c>
      <c r="D324" s="34">
        <f>3895-13-133+147</f>
        <v>3896</v>
      </c>
    </row>
    <row r="325" spans="1:4" x14ac:dyDescent="0.2">
      <c r="A325" s="32"/>
      <c r="B325" s="60" t="s">
        <v>191</v>
      </c>
      <c r="C325" s="61" t="s">
        <v>192</v>
      </c>
      <c r="D325" s="28">
        <f>3895-13-133+147</f>
        <v>3896</v>
      </c>
    </row>
    <row r="326" spans="1:4" x14ac:dyDescent="0.2">
      <c r="A326" s="32" t="s">
        <v>29</v>
      </c>
      <c r="B326" s="73" t="s">
        <v>109</v>
      </c>
      <c r="C326" s="33" t="s">
        <v>110</v>
      </c>
      <c r="D326" s="34"/>
    </row>
    <row r="327" spans="1:4" x14ac:dyDescent="0.2">
      <c r="A327" s="32"/>
      <c r="B327" s="58" t="s">
        <v>189</v>
      </c>
      <c r="C327" s="59" t="s">
        <v>190</v>
      </c>
      <c r="D327" s="34">
        <f>4600+200+1+10</f>
        <v>4811</v>
      </c>
    </row>
    <row r="328" spans="1:4" x14ac:dyDescent="0.2">
      <c r="A328" s="32"/>
      <c r="B328" s="60" t="s">
        <v>191</v>
      </c>
      <c r="C328" s="61" t="s">
        <v>192</v>
      </c>
      <c r="D328" s="28">
        <f>4600+200+1+10</f>
        <v>4811</v>
      </c>
    </row>
    <row r="329" spans="1:4" x14ac:dyDescent="0.2">
      <c r="A329" s="32" t="s">
        <v>29</v>
      </c>
      <c r="B329" s="73" t="s">
        <v>111</v>
      </c>
      <c r="C329" s="33" t="s">
        <v>239</v>
      </c>
      <c r="D329" s="34"/>
    </row>
    <row r="330" spans="1:4" x14ac:dyDescent="0.2">
      <c r="A330" s="32"/>
      <c r="B330" s="58" t="s">
        <v>189</v>
      </c>
      <c r="C330" s="59" t="s">
        <v>190</v>
      </c>
      <c r="D330" s="34">
        <v>17</v>
      </c>
    </row>
    <row r="331" spans="1:4" x14ac:dyDescent="0.2">
      <c r="A331" s="32"/>
      <c r="B331" s="60" t="s">
        <v>191</v>
      </c>
      <c r="C331" s="61" t="s">
        <v>192</v>
      </c>
      <c r="D331" s="28">
        <v>17</v>
      </c>
    </row>
    <row r="332" spans="1:4" x14ac:dyDescent="0.2">
      <c r="A332" s="32" t="s">
        <v>29</v>
      </c>
      <c r="B332" s="73" t="s">
        <v>112</v>
      </c>
      <c r="C332" s="33" t="s">
        <v>181</v>
      </c>
      <c r="D332" s="34"/>
    </row>
    <row r="333" spans="1:4" x14ac:dyDescent="0.2">
      <c r="A333" s="32"/>
      <c r="B333" s="58" t="s">
        <v>189</v>
      </c>
      <c r="C333" s="59" t="s">
        <v>190</v>
      </c>
      <c r="D333" s="34">
        <f>265464+1872+36-1071-250-200-2319-627-33829</f>
        <v>229076</v>
      </c>
    </row>
    <row r="334" spans="1:4" x14ac:dyDescent="0.2">
      <c r="A334" s="32"/>
      <c r="B334" s="60" t="s">
        <v>191</v>
      </c>
      <c r="C334" s="61" t="s">
        <v>192</v>
      </c>
      <c r="D334" s="34">
        <f>265464+1872+36-1071-250-200-2319-627-33829</f>
        <v>229076</v>
      </c>
    </row>
    <row r="335" spans="1:4" ht="25.5" x14ac:dyDescent="0.2">
      <c r="A335" s="54" t="s">
        <v>29</v>
      </c>
      <c r="B335" s="54">
        <v>56</v>
      </c>
      <c r="C335" s="79" t="s">
        <v>194</v>
      </c>
      <c r="D335" s="80"/>
    </row>
    <row r="336" spans="1:4" x14ac:dyDescent="0.2">
      <c r="A336" s="54"/>
      <c r="B336" s="22" t="s">
        <v>189</v>
      </c>
      <c r="C336" s="53" t="s">
        <v>190</v>
      </c>
      <c r="D336" s="80">
        <f>D339+D351+D357</f>
        <v>8617</v>
      </c>
    </row>
    <row r="337" spans="1:4" x14ac:dyDescent="0.2">
      <c r="A337" s="54"/>
      <c r="B337" s="22" t="s">
        <v>191</v>
      </c>
      <c r="C337" s="53" t="s">
        <v>192</v>
      </c>
      <c r="D337" s="80">
        <f>D340+D352+D358</f>
        <v>6237</v>
      </c>
    </row>
    <row r="338" spans="1:4" ht="25.5" x14ac:dyDescent="0.2">
      <c r="A338" s="81" t="s">
        <v>29</v>
      </c>
      <c r="B338" s="81" t="s">
        <v>332</v>
      </c>
      <c r="C338" s="82" t="s">
        <v>333</v>
      </c>
      <c r="D338" s="83"/>
    </row>
    <row r="339" spans="1:4" x14ac:dyDescent="0.2">
      <c r="A339" s="81"/>
      <c r="B339" s="22" t="s">
        <v>189</v>
      </c>
      <c r="C339" s="53" t="s">
        <v>190</v>
      </c>
      <c r="D339" s="83">
        <f t="shared" ref="D339:D340" si="14">D342+D345+D348</f>
        <v>6890</v>
      </c>
    </row>
    <row r="340" spans="1:4" x14ac:dyDescent="0.2">
      <c r="A340" s="81"/>
      <c r="B340" s="22" t="s">
        <v>191</v>
      </c>
      <c r="C340" s="53" t="s">
        <v>192</v>
      </c>
      <c r="D340" s="83">
        <f t="shared" si="14"/>
        <v>4510</v>
      </c>
    </row>
    <row r="341" spans="1:4" x14ac:dyDescent="0.2">
      <c r="A341" s="84" t="s">
        <v>29</v>
      </c>
      <c r="B341" s="84" t="s">
        <v>334</v>
      </c>
      <c r="C341" s="69" t="s">
        <v>240</v>
      </c>
      <c r="D341" s="71"/>
    </row>
    <row r="342" spans="1:4" x14ac:dyDescent="0.2">
      <c r="A342" s="84"/>
      <c r="B342" s="58" t="s">
        <v>189</v>
      </c>
      <c r="C342" s="59" t="s">
        <v>190</v>
      </c>
      <c r="D342" s="35">
        <v>1017</v>
      </c>
    </row>
    <row r="343" spans="1:4" x14ac:dyDescent="0.2">
      <c r="A343" s="84"/>
      <c r="B343" s="60" t="s">
        <v>191</v>
      </c>
      <c r="C343" s="61" t="s">
        <v>192</v>
      </c>
      <c r="D343" s="27">
        <v>589</v>
      </c>
    </row>
    <row r="344" spans="1:4" x14ac:dyDescent="0.2">
      <c r="A344" s="58" t="s">
        <v>29</v>
      </c>
      <c r="B344" s="58" t="s">
        <v>335</v>
      </c>
      <c r="C344" s="85" t="s">
        <v>243</v>
      </c>
      <c r="D344" s="86"/>
    </row>
    <row r="345" spans="1:4" x14ac:dyDescent="0.2">
      <c r="A345" s="58"/>
      <c r="B345" s="58" t="s">
        <v>189</v>
      </c>
      <c r="C345" s="59" t="s">
        <v>190</v>
      </c>
      <c r="D345" s="35">
        <v>5748</v>
      </c>
    </row>
    <row r="346" spans="1:4" x14ac:dyDescent="0.2">
      <c r="A346" s="58"/>
      <c r="B346" s="60" t="s">
        <v>191</v>
      </c>
      <c r="C346" s="61" t="s">
        <v>192</v>
      </c>
      <c r="D346" s="27">
        <v>3844</v>
      </c>
    </row>
    <row r="347" spans="1:4" x14ac:dyDescent="0.2">
      <c r="A347" s="58" t="s">
        <v>29</v>
      </c>
      <c r="B347" s="58" t="s">
        <v>336</v>
      </c>
      <c r="C347" s="85" t="s">
        <v>114</v>
      </c>
      <c r="D347" s="86"/>
    </row>
    <row r="348" spans="1:4" x14ac:dyDescent="0.2">
      <c r="A348" s="58"/>
      <c r="B348" s="58" t="s">
        <v>189</v>
      </c>
      <c r="C348" s="59" t="s">
        <v>190</v>
      </c>
      <c r="D348" s="35">
        <v>125</v>
      </c>
    </row>
    <row r="349" spans="1:4" x14ac:dyDescent="0.2">
      <c r="A349" s="58"/>
      <c r="B349" s="60" t="s">
        <v>191</v>
      </c>
      <c r="C349" s="61" t="s">
        <v>192</v>
      </c>
      <c r="D349" s="27">
        <v>77</v>
      </c>
    </row>
    <row r="350" spans="1:4" ht="40.5" hidden="1" customHeight="1" x14ac:dyDescent="0.2">
      <c r="A350" s="81" t="s">
        <v>29</v>
      </c>
      <c r="B350" s="81" t="s">
        <v>380</v>
      </c>
      <c r="C350" s="82" t="s">
        <v>382</v>
      </c>
      <c r="D350" s="83"/>
    </row>
    <row r="351" spans="1:4" hidden="1" x14ac:dyDescent="0.2">
      <c r="A351" s="81"/>
      <c r="B351" s="22" t="s">
        <v>189</v>
      </c>
      <c r="C351" s="53" t="s">
        <v>190</v>
      </c>
      <c r="D351" s="83">
        <f>D354</f>
        <v>0</v>
      </c>
    </row>
    <row r="352" spans="1:4" hidden="1" x14ac:dyDescent="0.2">
      <c r="A352" s="81"/>
      <c r="B352" s="22" t="s">
        <v>191</v>
      </c>
      <c r="C352" s="53" t="s">
        <v>192</v>
      </c>
      <c r="D352" s="83">
        <f>D355</f>
        <v>0</v>
      </c>
    </row>
    <row r="353" spans="1:4" hidden="1" x14ac:dyDescent="0.2">
      <c r="A353" s="58" t="s">
        <v>29</v>
      </c>
      <c r="B353" s="58" t="s">
        <v>381</v>
      </c>
      <c r="C353" s="85" t="s">
        <v>243</v>
      </c>
      <c r="D353" s="86"/>
    </row>
    <row r="354" spans="1:4" hidden="1" x14ac:dyDescent="0.2">
      <c r="A354" s="58"/>
      <c r="B354" s="58" t="s">
        <v>189</v>
      </c>
      <c r="C354" s="59" t="s">
        <v>190</v>
      </c>
      <c r="D354" s="35">
        <f>515-515</f>
        <v>0</v>
      </c>
    </row>
    <row r="355" spans="1:4" hidden="1" x14ac:dyDescent="0.2">
      <c r="A355" s="58"/>
      <c r="B355" s="60" t="s">
        <v>191</v>
      </c>
      <c r="C355" s="61" t="s">
        <v>192</v>
      </c>
      <c r="D355" s="27">
        <f>515-515</f>
        <v>0</v>
      </c>
    </row>
    <row r="356" spans="1:4" x14ac:dyDescent="0.2">
      <c r="A356" s="81" t="s">
        <v>29</v>
      </c>
      <c r="B356" s="81" t="s">
        <v>361</v>
      </c>
      <c r="C356" s="82" t="s">
        <v>363</v>
      </c>
      <c r="D356" s="83"/>
    </row>
    <row r="357" spans="1:4" x14ac:dyDescent="0.2">
      <c r="A357" s="81"/>
      <c r="B357" s="22" t="s">
        <v>189</v>
      </c>
      <c r="C357" s="53" t="s">
        <v>190</v>
      </c>
      <c r="D357" s="83">
        <f>D360</f>
        <v>1727</v>
      </c>
    </row>
    <row r="358" spans="1:4" x14ac:dyDescent="0.2">
      <c r="A358" s="81"/>
      <c r="B358" s="22" t="s">
        <v>191</v>
      </c>
      <c r="C358" s="53" t="s">
        <v>192</v>
      </c>
      <c r="D358" s="83">
        <f>D361</f>
        <v>1727</v>
      </c>
    </row>
    <row r="359" spans="1:4" x14ac:dyDescent="0.2">
      <c r="A359" s="58" t="s">
        <v>29</v>
      </c>
      <c r="B359" s="58" t="s">
        <v>362</v>
      </c>
      <c r="C359" s="85" t="s">
        <v>243</v>
      </c>
      <c r="D359" s="86"/>
    </row>
    <row r="360" spans="1:4" x14ac:dyDescent="0.2">
      <c r="A360" s="58"/>
      <c r="B360" s="58" t="s">
        <v>189</v>
      </c>
      <c r="C360" s="59" t="s">
        <v>190</v>
      </c>
      <c r="D360" s="35">
        <f>398+271+180+515+363</f>
        <v>1727</v>
      </c>
    </row>
    <row r="361" spans="1:4" x14ac:dyDescent="0.2">
      <c r="A361" s="58"/>
      <c r="B361" s="60" t="s">
        <v>191</v>
      </c>
      <c r="C361" s="61" t="s">
        <v>192</v>
      </c>
      <c r="D361" s="27">
        <f>398+271+180+515+363</f>
        <v>1727</v>
      </c>
    </row>
    <row r="362" spans="1:4" hidden="1" x14ac:dyDescent="0.2">
      <c r="A362" s="22" t="s">
        <v>29</v>
      </c>
      <c r="B362" s="22">
        <v>57</v>
      </c>
      <c r="C362" s="23" t="s">
        <v>266</v>
      </c>
      <c r="D362" s="24"/>
    </row>
    <row r="363" spans="1:4" hidden="1" x14ac:dyDescent="0.2">
      <c r="A363" s="22"/>
      <c r="B363" s="22" t="s">
        <v>189</v>
      </c>
      <c r="C363" s="53" t="s">
        <v>190</v>
      </c>
      <c r="D363" s="24">
        <f t="shared" ref="D363:D364" si="15">D366</f>
        <v>0</v>
      </c>
    </row>
    <row r="364" spans="1:4" hidden="1" x14ac:dyDescent="0.2">
      <c r="A364" s="22"/>
      <c r="B364" s="22" t="s">
        <v>191</v>
      </c>
      <c r="C364" s="53" t="s">
        <v>192</v>
      </c>
      <c r="D364" s="24">
        <f t="shared" si="15"/>
        <v>0</v>
      </c>
    </row>
    <row r="365" spans="1:4" hidden="1" x14ac:dyDescent="0.2">
      <c r="A365" s="22" t="s">
        <v>29</v>
      </c>
      <c r="B365" s="22" t="s">
        <v>270</v>
      </c>
      <c r="C365" s="23" t="s">
        <v>267</v>
      </c>
      <c r="D365" s="24"/>
    </row>
    <row r="366" spans="1:4" hidden="1" x14ac:dyDescent="0.2">
      <c r="A366" s="22"/>
      <c r="B366" s="22" t="s">
        <v>189</v>
      </c>
      <c r="C366" s="53" t="s">
        <v>190</v>
      </c>
      <c r="D366" s="24">
        <f t="shared" ref="D366:D367" si="16">D369</f>
        <v>0</v>
      </c>
    </row>
    <row r="367" spans="1:4" hidden="1" x14ac:dyDescent="0.2">
      <c r="A367" s="22"/>
      <c r="B367" s="22" t="s">
        <v>191</v>
      </c>
      <c r="C367" s="53" t="s">
        <v>192</v>
      </c>
      <c r="D367" s="24">
        <f t="shared" si="16"/>
        <v>0</v>
      </c>
    </row>
    <row r="368" spans="1:4" hidden="1" x14ac:dyDescent="0.2">
      <c r="A368" s="32" t="s">
        <v>29</v>
      </c>
      <c r="B368" s="32" t="s">
        <v>271</v>
      </c>
      <c r="C368" s="33" t="s">
        <v>268</v>
      </c>
      <c r="D368" s="35"/>
    </row>
    <row r="369" spans="1:4" hidden="1" x14ac:dyDescent="0.2">
      <c r="A369" s="32"/>
      <c r="B369" s="58" t="s">
        <v>189</v>
      </c>
      <c r="C369" s="59" t="s">
        <v>190</v>
      </c>
      <c r="D369" s="35"/>
    </row>
    <row r="370" spans="1:4" hidden="1" x14ac:dyDescent="0.2">
      <c r="A370" s="32"/>
      <c r="B370" s="60" t="s">
        <v>191</v>
      </c>
      <c r="C370" s="61" t="s">
        <v>192</v>
      </c>
      <c r="D370" s="35"/>
    </row>
    <row r="371" spans="1:4" ht="38.25" hidden="1" x14ac:dyDescent="0.2">
      <c r="A371" s="54" t="s">
        <v>29</v>
      </c>
      <c r="B371" s="54" t="s">
        <v>34</v>
      </c>
      <c r="C371" s="87" t="s">
        <v>195</v>
      </c>
      <c r="D371" s="80"/>
    </row>
    <row r="372" spans="1:4" hidden="1" x14ac:dyDescent="0.2">
      <c r="A372" s="54"/>
      <c r="B372" s="22" t="s">
        <v>189</v>
      </c>
      <c r="C372" s="53" t="s">
        <v>190</v>
      </c>
      <c r="D372" s="80">
        <f>D375+D396+D426+D387+D405+D417</f>
        <v>0</v>
      </c>
    </row>
    <row r="373" spans="1:4" hidden="1" x14ac:dyDescent="0.2">
      <c r="A373" s="54"/>
      <c r="B373" s="22" t="s">
        <v>191</v>
      </c>
      <c r="C373" s="53" t="s">
        <v>192</v>
      </c>
      <c r="D373" s="80">
        <f>D376+D397+D427+D388+D406+D418</f>
        <v>0</v>
      </c>
    </row>
    <row r="374" spans="1:4" ht="23.25" hidden="1" customHeight="1" x14ac:dyDescent="0.2">
      <c r="A374" s="81" t="s">
        <v>29</v>
      </c>
      <c r="B374" s="81" t="s">
        <v>115</v>
      </c>
      <c r="C374" s="82" t="s">
        <v>242</v>
      </c>
      <c r="D374" s="83"/>
    </row>
    <row r="375" spans="1:4" hidden="1" x14ac:dyDescent="0.2">
      <c r="A375" s="81"/>
      <c r="B375" s="22" t="s">
        <v>189</v>
      </c>
      <c r="C375" s="53" t="s">
        <v>190</v>
      </c>
      <c r="D375" s="83">
        <f t="shared" ref="D375:D376" si="17">D378+D381+D384</f>
        <v>0</v>
      </c>
    </row>
    <row r="376" spans="1:4" hidden="1" x14ac:dyDescent="0.2">
      <c r="A376" s="81"/>
      <c r="B376" s="22" t="s">
        <v>191</v>
      </c>
      <c r="C376" s="53" t="s">
        <v>192</v>
      </c>
      <c r="D376" s="83">
        <f t="shared" si="17"/>
        <v>0</v>
      </c>
    </row>
    <row r="377" spans="1:4" hidden="1" x14ac:dyDescent="0.2">
      <c r="A377" s="84" t="s">
        <v>29</v>
      </c>
      <c r="B377" s="84" t="s">
        <v>116</v>
      </c>
      <c r="C377" s="69" t="s">
        <v>240</v>
      </c>
      <c r="D377" s="71"/>
    </row>
    <row r="378" spans="1:4" hidden="1" x14ac:dyDescent="0.2">
      <c r="A378" s="84"/>
      <c r="B378" s="58" t="s">
        <v>189</v>
      </c>
      <c r="C378" s="59" t="s">
        <v>190</v>
      </c>
      <c r="D378" s="34">
        <v>0</v>
      </c>
    </row>
    <row r="379" spans="1:4" hidden="1" x14ac:dyDescent="0.2">
      <c r="A379" s="84"/>
      <c r="B379" s="60" t="s">
        <v>191</v>
      </c>
      <c r="C379" s="61" t="s">
        <v>192</v>
      </c>
      <c r="D379" s="28">
        <v>0</v>
      </c>
    </row>
    <row r="380" spans="1:4" hidden="1" x14ac:dyDescent="0.2">
      <c r="A380" s="58" t="s">
        <v>29</v>
      </c>
      <c r="B380" s="58" t="s">
        <v>117</v>
      </c>
      <c r="C380" s="85" t="s">
        <v>243</v>
      </c>
      <c r="D380" s="88"/>
    </row>
    <row r="381" spans="1:4" hidden="1" x14ac:dyDescent="0.2">
      <c r="A381" s="58"/>
      <c r="B381" s="58" t="s">
        <v>189</v>
      </c>
      <c r="C381" s="59" t="s">
        <v>190</v>
      </c>
      <c r="D381" s="34"/>
    </row>
    <row r="382" spans="1:4" hidden="1" x14ac:dyDescent="0.2">
      <c r="A382" s="58"/>
      <c r="B382" s="60" t="s">
        <v>191</v>
      </c>
      <c r="C382" s="61" t="s">
        <v>192</v>
      </c>
      <c r="D382" s="28"/>
    </row>
    <row r="383" spans="1:4" hidden="1" x14ac:dyDescent="0.2">
      <c r="A383" s="58" t="s">
        <v>29</v>
      </c>
      <c r="B383" s="58" t="s">
        <v>118</v>
      </c>
      <c r="C383" s="69" t="s">
        <v>114</v>
      </c>
      <c r="D383" s="70"/>
    </row>
    <row r="384" spans="1:4" hidden="1" x14ac:dyDescent="0.2">
      <c r="A384" s="58"/>
      <c r="B384" s="58" t="s">
        <v>189</v>
      </c>
      <c r="C384" s="59" t="s">
        <v>190</v>
      </c>
      <c r="D384" s="34">
        <v>0</v>
      </c>
    </row>
    <row r="385" spans="1:4" hidden="1" x14ac:dyDescent="0.2">
      <c r="A385" s="58"/>
      <c r="B385" s="60" t="s">
        <v>191</v>
      </c>
      <c r="C385" s="61" t="s">
        <v>192</v>
      </c>
      <c r="D385" s="28">
        <v>0</v>
      </c>
    </row>
    <row r="386" spans="1:4" hidden="1" x14ac:dyDescent="0.2">
      <c r="A386" s="81" t="s">
        <v>29</v>
      </c>
      <c r="B386" s="81" t="s">
        <v>274</v>
      </c>
      <c r="C386" s="82" t="s">
        <v>272</v>
      </c>
      <c r="D386" s="83"/>
    </row>
    <row r="387" spans="1:4" hidden="1" x14ac:dyDescent="0.2">
      <c r="A387" s="81"/>
      <c r="B387" s="22" t="s">
        <v>189</v>
      </c>
      <c r="C387" s="53" t="s">
        <v>190</v>
      </c>
      <c r="D387" s="83">
        <f t="shared" ref="D387:D388" si="18">D390+D393</f>
        <v>0</v>
      </c>
    </row>
    <row r="388" spans="1:4" hidden="1" x14ac:dyDescent="0.2">
      <c r="A388" s="81"/>
      <c r="B388" s="22" t="s">
        <v>191</v>
      </c>
      <c r="C388" s="53" t="s">
        <v>192</v>
      </c>
      <c r="D388" s="83">
        <f t="shared" si="18"/>
        <v>0</v>
      </c>
    </row>
    <row r="389" spans="1:4" hidden="1" x14ac:dyDescent="0.2">
      <c r="A389" s="84" t="s">
        <v>29</v>
      </c>
      <c r="B389" s="84" t="s">
        <v>275</v>
      </c>
      <c r="C389" s="33" t="s">
        <v>240</v>
      </c>
      <c r="D389" s="35"/>
    </row>
    <row r="390" spans="1:4" hidden="1" x14ac:dyDescent="0.2">
      <c r="A390" s="84"/>
      <c r="B390" s="58" t="s">
        <v>189</v>
      </c>
      <c r="C390" s="59" t="s">
        <v>190</v>
      </c>
      <c r="D390" s="35"/>
    </row>
    <row r="391" spans="1:4" hidden="1" x14ac:dyDescent="0.2">
      <c r="A391" s="84"/>
      <c r="B391" s="60" t="s">
        <v>191</v>
      </c>
      <c r="C391" s="61" t="s">
        <v>192</v>
      </c>
      <c r="D391" s="27"/>
    </row>
    <row r="392" spans="1:4" hidden="1" x14ac:dyDescent="0.2">
      <c r="A392" s="58" t="s">
        <v>29</v>
      </c>
      <c r="B392" s="58" t="s">
        <v>276</v>
      </c>
      <c r="C392" s="89" t="s">
        <v>243</v>
      </c>
      <c r="D392" s="90"/>
    </row>
    <row r="393" spans="1:4" hidden="1" x14ac:dyDescent="0.2">
      <c r="A393" s="58"/>
      <c r="B393" s="58" t="s">
        <v>189</v>
      </c>
      <c r="C393" s="59" t="s">
        <v>190</v>
      </c>
      <c r="D393" s="34"/>
    </row>
    <row r="394" spans="1:4" hidden="1" x14ac:dyDescent="0.2">
      <c r="A394" s="58"/>
      <c r="B394" s="60" t="s">
        <v>191</v>
      </c>
      <c r="C394" s="61" t="s">
        <v>192</v>
      </c>
      <c r="D394" s="34"/>
    </row>
    <row r="395" spans="1:4" ht="17.25" hidden="1" customHeight="1" x14ac:dyDescent="0.2">
      <c r="A395" s="81" t="s">
        <v>29</v>
      </c>
      <c r="B395" s="81" t="s">
        <v>119</v>
      </c>
      <c r="C395" s="82" t="s">
        <v>120</v>
      </c>
      <c r="D395" s="83"/>
    </row>
    <row r="396" spans="1:4" hidden="1" x14ac:dyDescent="0.2">
      <c r="A396" s="81"/>
      <c r="B396" s="22" t="s">
        <v>189</v>
      </c>
      <c r="C396" s="53" t="s">
        <v>190</v>
      </c>
      <c r="D396" s="83">
        <f t="shared" ref="D396:D397" si="19">D399+D402</f>
        <v>0</v>
      </c>
    </row>
    <row r="397" spans="1:4" hidden="1" x14ac:dyDescent="0.2">
      <c r="A397" s="81"/>
      <c r="B397" s="22" t="s">
        <v>191</v>
      </c>
      <c r="C397" s="53" t="s">
        <v>192</v>
      </c>
      <c r="D397" s="83">
        <f t="shared" si="19"/>
        <v>0</v>
      </c>
    </row>
    <row r="398" spans="1:4" hidden="1" x14ac:dyDescent="0.2">
      <c r="A398" s="84" t="s">
        <v>29</v>
      </c>
      <c r="B398" s="84" t="s">
        <v>121</v>
      </c>
      <c r="C398" s="33" t="s">
        <v>240</v>
      </c>
      <c r="D398" s="35"/>
    </row>
    <row r="399" spans="1:4" hidden="1" x14ac:dyDescent="0.2">
      <c r="A399" s="84"/>
      <c r="B399" s="58" t="s">
        <v>189</v>
      </c>
      <c r="C399" s="59" t="s">
        <v>190</v>
      </c>
      <c r="D399" s="34">
        <v>0</v>
      </c>
    </row>
    <row r="400" spans="1:4" hidden="1" x14ac:dyDescent="0.2">
      <c r="A400" s="84"/>
      <c r="B400" s="60" t="s">
        <v>191</v>
      </c>
      <c r="C400" s="61" t="s">
        <v>192</v>
      </c>
      <c r="D400" s="28">
        <v>0</v>
      </c>
    </row>
    <row r="401" spans="1:4" hidden="1" x14ac:dyDescent="0.2">
      <c r="A401" s="58" t="s">
        <v>29</v>
      </c>
      <c r="B401" s="58" t="s">
        <v>122</v>
      </c>
      <c r="C401" s="89" t="s">
        <v>243</v>
      </c>
      <c r="D401" s="91"/>
    </row>
    <row r="402" spans="1:4" hidden="1" x14ac:dyDescent="0.2">
      <c r="A402" s="58"/>
      <c r="B402" s="58" t="s">
        <v>189</v>
      </c>
      <c r="C402" s="59" t="s">
        <v>190</v>
      </c>
      <c r="D402" s="34">
        <v>0</v>
      </c>
    </row>
    <row r="403" spans="1:4" hidden="1" x14ac:dyDescent="0.2">
      <c r="A403" s="58"/>
      <c r="B403" s="60" t="s">
        <v>191</v>
      </c>
      <c r="C403" s="61" t="s">
        <v>192</v>
      </c>
      <c r="D403" s="28">
        <v>0</v>
      </c>
    </row>
    <row r="404" spans="1:4" hidden="1" x14ac:dyDescent="0.2">
      <c r="A404" s="81" t="s">
        <v>29</v>
      </c>
      <c r="B404" s="81" t="s">
        <v>292</v>
      </c>
      <c r="C404" s="92" t="s">
        <v>291</v>
      </c>
      <c r="D404" s="83"/>
    </row>
    <row r="405" spans="1:4" hidden="1" x14ac:dyDescent="0.2">
      <c r="A405" s="81"/>
      <c r="B405" s="22" t="s">
        <v>189</v>
      </c>
      <c r="C405" s="53" t="s">
        <v>190</v>
      </c>
      <c r="D405" s="83">
        <f>D408+D411+D414</f>
        <v>0</v>
      </c>
    </row>
    <row r="406" spans="1:4" hidden="1" x14ac:dyDescent="0.2">
      <c r="A406" s="81"/>
      <c r="B406" s="22" t="s">
        <v>191</v>
      </c>
      <c r="C406" s="53" t="s">
        <v>192</v>
      </c>
      <c r="D406" s="83">
        <f>D409+D412+D415</f>
        <v>0</v>
      </c>
    </row>
    <row r="407" spans="1:4" hidden="1" x14ac:dyDescent="0.2">
      <c r="A407" s="84" t="s">
        <v>29</v>
      </c>
      <c r="B407" s="84" t="s">
        <v>293</v>
      </c>
      <c r="C407" s="33" t="s">
        <v>240</v>
      </c>
      <c r="D407" s="35"/>
    </row>
    <row r="408" spans="1:4" hidden="1" x14ac:dyDescent="0.2">
      <c r="A408" s="84"/>
      <c r="B408" s="58" t="s">
        <v>189</v>
      </c>
      <c r="C408" s="59" t="s">
        <v>190</v>
      </c>
      <c r="D408" s="35"/>
    </row>
    <row r="409" spans="1:4" hidden="1" x14ac:dyDescent="0.2">
      <c r="A409" s="84"/>
      <c r="B409" s="60" t="s">
        <v>191</v>
      </c>
      <c r="C409" s="61" t="s">
        <v>192</v>
      </c>
      <c r="D409" s="35"/>
    </row>
    <row r="410" spans="1:4" hidden="1" x14ac:dyDescent="0.2">
      <c r="A410" s="58" t="s">
        <v>29</v>
      </c>
      <c r="B410" s="58" t="s">
        <v>294</v>
      </c>
      <c r="C410" s="89" t="s">
        <v>243</v>
      </c>
      <c r="D410" s="90"/>
    </row>
    <row r="411" spans="1:4" hidden="1" x14ac:dyDescent="0.2">
      <c r="A411" s="58"/>
      <c r="B411" s="58" t="s">
        <v>189</v>
      </c>
      <c r="C411" s="59" t="s">
        <v>190</v>
      </c>
      <c r="D411" s="35"/>
    </row>
    <row r="412" spans="1:4" hidden="1" x14ac:dyDescent="0.2">
      <c r="A412" s="58"/>
      <c r="B412" s="60" t="s">
        <v>191</v>
      </c>
      <c r="C412" s="61" t="s">
        <v>192</v>
      </c>
      <c r="D412" s="35"/>
    </row>
    <row r="413" spans="1:4" hidden="1" x14ac:dyDescent="0.2">
      <c r="A413" s="58" t="s">
        <v>29</v>
      </c>
      <c r="B413" s="58" t="s">
        <v>302</v>
      </c>
      <c r="C413" s="69" t="s">
        <v>114</v>
      </c>
      <c r="D413" s="90"/>
    </row>
    <row r="414" spans="1:4" hidden="1" x14ac:dyDescent="0.2">
      <c r="A414" s="58"/>
      <c r="B414" s="58" t="s">
        <v>189</v>
      </c>
      <c r="C414" s="59" t="s">
        <v>190</v>
      </c>
      <c r="D414" s="35"/>
    </row>
    <row r="415" spans="1:4" hidden="1" x14ac:dyDescent="0.2">
      <c r="A415" s="58"/>
      <c r="B415" s="60" t="s">
        <v>191</v>
      </c>
      <c r="C415" s="61" t="s">
        <v>192</v>
      </c>
      <c r="D415" s="35"/>
    </row>
    <row r="416" spans="1:4" hidden="1" x14ac:dyDescent="0.2">
      <c r="A416" s="81" t="s">
        <v>29</v>
      </c>
      <c r="B416" s="81" t="s">
        <v>326</v>
      </c>
      <c r="C416" s="92" t="s">
        <v>325</v>
      </c>
      <c r="D416" s="83"/>
    </row>
    <row r="417" spans="1:4" hidden="1" x14ac:dyDescent="0.2">
      <c r="A417" s="81"/>
      <c r="B417" s="22" t="s">
        <v>189</v>
      </c>
      <c r="C417" s="53" t="s">
        <v>190</v>
      </c>
      <c r="D417" s="83">
        <f t="shared" ref="D417:D418" si="20">D420+D423</f>
        <v>0</v>
      </c>
    </row>
    <row r="418" spans="1:4" hidden="1" x14ac:dyDescent="0.2">
      <c r="A418" s="81"/>
      <c r="B418" s="22" t="s">
        <v>191</v>
      </c>
      <c r="C418" s="53" t="s">
        <v>192</v>
      </c>
      <c r="D418" s="83">
        <f t="shared" si="20"/>
        <v>0</v>
      </c>
    </row>
    <row r="419" spans="1:4" hidden="1" x14ac:dyDescent="0.2">
      <c r="A419" s="84" t="s">
        <v>29</v>
      </c>
      <c r="B419" s="84" t="s">
        <v>327</v>
      </c>
      <c r="C419" s="89" t="s">
        <v>243</v>
      </c>
      <c r="D419" s="35"/>
    </row>
    <row r="420" spans="1:4" hidden="1" x14ac:dyDescent="0.2">
      <c r="A420" s="84"/>
      <c r="B420" s="58" t="s">
        <v>189</v>
      </c>
      <c r="C420" s="59" t="s">
        <v>190</v>
      </c>
      <c r="D420" s="34">
        <f>210-210</f>
        <v>0</v>
      </c>
    </row>
    <row r="421" spans="1:4" hidden="1" x14ac:dyDescent="0.2">
      <c r="A421" s="84"/>
      <c r="B421" s="60" t="s">
        <v>191</v>
      </c>
      <c r="C421" s="61" t="s">
        <v>192</v>
      </c>
      <c r="D421" s="28">
        <f>210-210</f>
        <v>0</v>
      </c>
    </row>
    <row r="422" spans="1:4" hidden="1" x14ac:dyDescent="0.2">
      <c r="A422" s="58" t="s">
        <v>29</v>
      </c>
      <c r="B422" s="58" t="s">
        <v>328</v>
      </c>
      <c r="C422" s="69" t="s">
        <v>114</v>
      </c>
      <c r="D422" s="91"/>
    </row>
    <row r="423" spans="1:4" hidden="1" x14ac:dyDescent="0.2">
      <c r="A423" s="58"/>
      <c r="B423" s="58" t="s">
        <v>189</v>
      </c>
      <c r="C423" s="59" t="s">
        <v>190</v>
      </c>
      <c r="D423" s="34">
        <f>61-61</f>
        <v>0</v>
      </c>
    </row>
    <row r="424" spans="1:4" hidden="1" x14ac:dyDescent="0.2">
      <c r="A424" s="58"/>
      <c r="B424" s="60" t="s">
        <v>191</v>
      </c>
      <c r="C424" s="61" t="s">
        <v>192</v>
      </c>
      <c r="D424" s="28">
        <f>61-61</f>
        <v>0</v>
      </c>
    </row>
    <row r="425" spans="1:4" hidden="1" x14ac:dyDescent="0.2">
      <c r="A425" s="81" t="s">
        <v>29</v>
      </c>
      <c r="B425" s="81" t="s">
        <v>123</v>
      </c>
      <c r="C425" s="93" t="s">
        <v>186</v>
      </c>
      <c r="D425" s="83"/>
    </row>
    <row r="426" spans="1:4" hidden="1" x14ac:dyDescent="0.2">
      <c r="A426" s="81"/>
      <c r="B426" s="22" t="s">
        <v>189</v>
      </c>
      <c r="C426" s="53" t="s">
        <v>190</v>
      </c>
      <c r="D426" s="83">
        <f>D429+D432+D435</f>
        <v>0</v>
      </c>
    </row>
    <row r="427" spans="1:4" hidden="1" x14ac:dyDescent="0.2">
      <c r="A427" s="81"/>
      <c r="B427" s="22" t="s">
        <v>191</v>
      </c>
      <c r="C427" s="53" t="s">
        <v>192</v>
      </c>
      <c r="D427" s="83">
        <f>D430+D433+D436</f>
        <v>0</v>
      </c>
    </row>
    <row r="428" spans="1:4" hidden="1" x14ac:dyDescent="0.2">
      <c r="A428" s="58" t="s">
        <v>29</v>
      </c>
      <c r="B428" s="58" t="s">
        <v>273</v>
      </c>
      <c r="C428" s="33" t="s">
        <v>240</v>
      </c>
      <c r="D428" s="90"/>
    </row>
    <row r="429" spans="1:4" hidden="1" x14ac:dyDescent="0.2">
      <c r="A429" s="58"/>
      <c r="B429" s="58" t="s">
        <v>189</v>
      </c>
      <c r="C429" s="59" t="s">
        <v>190</v>
      </c>
      <c r="D429" s="35"/>
    </row>
    <row r="430" spans="1:4" hidden="1" x14ac:dyDescent="0.2">
      <c r="A430" s="58"/>
      <c r="B430" s="60" t="s">
        <v>191</v>
      </c>
      <c r="C430" s="61" t="s">
        <v>192</v>
      </c>
      <c r="D430" s="35"/>
    </row>
    <row r="431" spans="1:4" hidden="1" x14ac:dyDescent="0.2">
      <c r="A431" s="58" t="s">
        <v>29</v>
      </c>
      <c r="B431" s="58" t="s">
        <v>124</v>
      </c>
      <c r="C431" s="89" t="s">
        <v>243</v>
      </c>
      <c r="D431" s="90"/>
    </row>
    <row r="432" spans="1:4" hidden="1" x14ac:dyDescent="0.2">
      <c r="A432" s="58"/>
      <c r="B432" s="58" t="s">
        <v>189</v>
      </c>
      <c r="C432" s="59" t="s">
        <v>190</v>
      </c>
      <c r="D432" s="35">
        <f>180-180</f>
        <v>0</v>
      </c>
    </row>
    <row r="433" spans="1:4" hidden="1" x14ac:dyDescent="0.2">
      <c r="A433" s="58"/>
      <c r="B433" s="60" t="s">
        <v>191</v>
      </c>
      <c r="C433" s="61" t="s">
        <v>192</v>
      </c>
      <c r="D433" s="35">
        <f>180-180</f>
        <v>0</v>
      </c>
    </row>
    <row r="434" spans="1:4" hidden="1" x14ac:dyDescent="0.2">
      <c r="A434" s="58" t="s">
        <v>29</v>
      </c>
      <c r="B434" s="58" t="s">
        <v>125</v>
      </c>
      <c r="C434" s="33" t="s">
        <v>114</v>
      </c>
      <c r="D434" s="35"/>
    </row>
    <row r="435" spans="1:4" hidden="1" x14ac:dyDescent="0.2">
      <c r="A435" s="58"/>
      <c r="B435" s="58" t="s">
        <v>189</v>
      </c>
      <c r="C435" s="59" t="s">
        <v>190</v>
      </c>
      <c r="D435" s="35">
        <v>0</v>
      </c>
    </row>
    <row r="436" spans="1:4" hidden="1" x14ac:dyDescent="0.2">
      <c r="A436" s="58"/>
      <c r="B436" s="60" t="s">
        <v>191</v>
      </c>
      <c r="C436" s="61" t="s">
        <v>192</v>
      </c>
      <c r="D436" s="27">
        <v>0</v>
      </c>
    </row>
    <row r="437" spans="1:4" x14ac:dyDescent="0.2">
      <c r="A437" s="22" t="s">
        <v>29</v>
      </c>
      <c r="B437" s="94" t="s">
        <v>35</v>
      </c>
      <c r="C437" s="95" t="s">
        <v>105</v>
      </c>
      <c r="D437" s="96"/>
    </row>
    <row r="438" spans="1:4" x14ac:dyDescent="0.2">
      <c r="A438" s="22"/>
      <c r="B438" s="22" t="s">
        <v>189</v>
      </c>
      <c r="C438" s="53" t="s">
        <v>190</v>
      </c>
      <c r="D438" s="96">
        <f>D441+D444+D447</f>
        <v>47064</v>
      </c>
    </row>
    <row r="439" spans="1:4" x14ac:dyDescent="0.2">
      <c r="A439" s="22"/>
      <c r="B439" s="22" t="s">
        <v>191</v>
      </c>
      <c r="C439" s="53" t="s">
        <v>192</v>
      </c>
      <c r="D439" s="96">
        <f>D442+D445+D448</f>
        <v>47064</v>
      </c>
    </row>
    <row r="440" spans="1:4" x14ac:dyDescent="0.2">
      <c r="A440" s="32" t="s">
        <v>29</v>
      </c>
      <c r="B440" s="58" t="s">
        <v>126</v>
      </c>
      <c r="C440" s="59" t="s">
        <v>244</v>
      </c>
      <c r="D440" s="35"/>
    </row>
    <row r="441" spans="1:4" x14ac:dyDescent="0.2">
      <c r="A441" s="32"/>
      <c r="B441" s="58" t="s">
        <v>189</v>
      </c>
      <c r="C441" s="59" t="s">
        <v>190</v>
      </c>
      <c r="D441" s="35">
        <v>10</v>
      </c>
    </row>
    <row r="442" spans="1:4" x14ac:dyDescent="0.2">
      <c r="A442" s="32"/>
      <c r="B442" s="60" t="s">
        <v>191</v>
      </c>
      <c r="C442" s="61" t="s">
        <v>192</v>
      </c>
      <c r="D442" s="27">
        <v>10</v>
      </c>
    </row>
    <row r="443" spans="1:4" x14ac:dyDescent="0.2">
      <c r="A443" s="32" t="s">
        <v>245</v>
      </c>
      <c r="B443" s="58" t="s">
        <v>158</v>
      </c>
      <c r="C443" s="59" t="s">
        <v>159</v>
      </c>
      <c r="D443" s="35"/>
    </row>
    <row r="444" spans="1:4" x14ac:dyDescent="0.2">
      <c r="A444" s="32"/>
      <c r="B444" s="58" t="s">
        <v>189</v>
      </c>
      <c r="C444" s="59" t="s">
        <v>190</v>
      </c>
      <c r="D444" s="35">
        <f>9796-430</f>
        <v>9366</v>
      </c>
    </row>
    <row r="445" spans="1:4" x14ac:dyDescent="0.2">
      <c r="A445" s="32"/>
      <c r="B445" s="60" t="s">
        <v>191</v>
      </c>
      <c r="C445" s="61" t="s">
        <v>192</v>
      </c>
      <c r="D445" s="27">
        <f>9796-430</f>
        <v>9366</v>
      </c>
    </row>
    <row r="446" spans="1:4" x14ac:dyDescent="0.2">
      <c r="A446" s="32" t="s">
        <v>245</v>
      </c>
      <c r="B446" s="58" t="s">
        <v>411</v>
      </c>
      <c r="C446" s="59" t="s">
        <v>412</v>
      </c>
      <c r="D446" s="35"/>
    </row>
    <row r="447" spans="1:4" x14ac:dyDescent="0.2">
      <c r="A447" s="32"/>
      <c r="B447" s="58" t="s">
        <v>189</v>
      </c>
      <c r="C447" s="59" t="s">
        <v>190</v>
      </c>
      <c r="D447" s="35">
        <v>37688</v>
      </c>
    </row>
    <row r="448" spans="1:4" x14ac:dyDescent="0.2">
      <c r="A448" s="32"/>
      <c r="B448" s="60" t="s">
        <v>191</v>
      </c>
      <c r="C448" s="61" t="s">
        <v>192</v>
      </c>
      <c r="D448" s="27">
        <v>37688</v>
      </c>
    </row>
    <row r="449" spans="1:4" x14ac:dyDescent="0.2">
      <c r="A449" s="22" t="s">
        <v>29</v>
      </c>
      <c r="B449" s="22" t="s">
        <v>127</v>
      </c>
      <c r="C449" s="23" t="s">
        <v>128</v>
      </c>
      <c r="D449" s="24"/>
    </row>
    <row r="450" spans="1:4" x14ac:dyDescent="0.2">
      <c r="A450" s="22"/>
      <c r="B450" s="22" t="s">
        <v>189</v>
      </c>
      <c r="C450" s="23" t="s">
        <v>190</v>
      </c>
      <c r="D450" s="24">
        <f>D453+D474</f>
        <v>335511</v>
      </c>
    </row>
    <row r="451" spans="1:4" x14ac:dyDescent="0.2">
      <c r="A451" s="22"/>
      <c r="B451" s="22" t="s">
        <v>191</v>
      </c>
      <c r="C451" s="53" t="s">
        <v>192</v>
      </c>
      <c r="D451" s="24">
        <f>D454+D475</f>
        <v>306052</v>
      </c>
    </row>
    <row r="452" spans="1:4" x14ac:dyDescent="0.2">
      <c r="A452" s="22" t="s">
        <v>29</v>
      </c>
      <c r="B452" s="22" t="s">
        <v>129</v>
      </c>
      <c r="C452" s="23" t="s">
        <v>130</v>
      </c>
      <c r="D452" s="24"/>
    </row>
    <row r="453" spans="1:4" x14ac:dyDescent="0.2">
      <c r="A453" s="22"/>
      <c r="B453" s="22" t="s">
        <v>189</v>
      </c>
      <c r="C453" s="23" t="s">
        <v>190</v>
      </c>
      <c r="D453" s="24">
        <f>D456+D471</f>
        <v>335511</v>
      </c>
    </row>
    <row r="454" spans="1:4" x14ac:dyDescent="0.2">
      <c r="A454" s="22"/>
      <c r="B454" s="22" t="s">
        <v>191</v>
      </c>
      <c r="C454" s="53" t="s">
        <v>192</v>
      </c>
      <c r="D454" s="24">
        <f>D457+D472</f>
        <v>306052</v>
      </c>
    </row>
    <row r="455" spans="1:4" x14ac:dyDescent="0.2">
      <c r="A455" s="22" t="s">
        <v>29</v>
      </c>
      <c r="B455" s="22" t="s">
        <v>131</v>
      </c>
      <c r="C455" s="23" t="s">
        <v>132</v>
      </c>
      <c r="D455" s="24"/>
    </row>
    <row r="456" spans="1:4" x14ac:dyDescent="0.2">
      <c r="A456" s="22"/>
      <c r="B456" s="22" t="s">
        <v>189</v>
      </c>
      <c r="C456" s="23" t="s">
        <v>190</v>
      </c>
      <c r="D456" s="24">
        <f t="shared" ref="D456:D457" si="21">D459+D462+D465+D468</f>
        <v>301827</v>
      </c>
    </row>
    <row r="457" spans="1:4" x14ac:dyDescent="0.2">
      <c r="A457" s="22"/>
      <c r="B457" s="22" t="s">
        <v>191</v>
      </c>
      <c r="C457" s="53" t="s">
        <v>192</v>
      </c>
      <c r="D457" s="24">
        <f t="shared" si="21"/>
        <v>270568</v>
      </c>
    </row>
    <row r="458" spans="1:4" x14ac:dyDescent="0.2">
      <c r="A458" s="32" t="s">
        <v>29</v>
      </c>
      <c r="B458" s="73" t="s">
        <v>133</v>
      </c>
      <c r="C458" s="33" t="s">
        <v>134</v>
      </c>
      <c r="D458" s="35"/>
    </row>
    <row r="459" spans="1:4" x14ac:dyDescent="0.2">
      <c r="A459" s="32"/>
      <c r="B459" s="60" t="s">
        <v>189</v>
      </c>
      <c r="C459" s="97" t="s">
        <v>190</v>
      </c>
      <c r="D459" s="34">
        <f>255812+800+8500-4425+5052</f>
        <v>265739</v>
      </c>
    </row>
    <row r="460" spans="1:4" x14ac:dyDescent="0.2">
      <c r="A460" s="32"/>
      <c r="B460" s="60" t="s">
        <v>191</v>
      </c>
      <c r="C460" s="97" t="s">
        <v>192</v>
      </c>
      <c r="D460" s="34">
        <f>233186+800-4558+5052</f>
        <v>234480</v>
      </c>
    </row>
    <row r="461" spans="1:4" x14ac:dyDescent="0.2">
      <c r="A461" s="32" t="s">
        <v>29</v>
      </c>
      <c r="B461" s="73" t="s">
        <v>135</v>
      </c>
      <c r="C461" s="33" t="s">
        <v>136</v>
      </c>
      <c r="D461" s="34"/>
    </row>
    <row r="462" spans="1:4" x14ac:dyDescent="0.2">
      <c r="A462" s="32"/>
      <c r="B462" s="60" t="s">
        <v>189</v>
      </c>
      <c r="C462" s="97" t="s">
        <v>190</v>
      </c>
      <c r="D462" s="34">
        <f>29098-32+200+2746</f>
        <v>32012</v>
      </c>
    </row>
    <row r="463" spans="1:4" x14ac:dyDescent="0.2">
      <c r="A463" s="32"/>
      <c r="B463" s="60" t="s">
        <v>191</v>
      </c>
      <c r="C463" s="97" t="s">
        <v>192</v>
      </c>
      <c r="D463" s="34">
        <f>29098-32+200+2746</f>
        <v>32012</v>
      </c>
    </row>
    <row r="464" spans="1:4" hidden="1" x14ac:dyDescent="0.2">
      <c r="A464" s="32" t="s">
        <v>29</v>
      </c>
      <c r="B464" s="73" t="s">
        <v>137</v>
      </c>
      <c r="C464" s="33" t="s">
        <v>138</v>
      </c>
      <c r="D464" s="34"/>
    </row>
    <row r="465" spans="1:4" hidden="1" x14ac:dyDescent="0.2">
      <c r="A465" s="32"/>
      <c r="B465" s="60" t="s">
        <v>189</v>
      </c>
      <c r="C465" s="97" t="s">
        <v>190</v>
      </c>
      <c r="D465" s="35"/>
    </row>
    <row r="466" spans="1:4" hidden="1" x14ac:dyDescent="0.2">
      <c r="A466" s="32"/>
      <c r="B466" s="60" t="s">
        <v>191</v>
      </c>
      <c r="C466" s="97" t="s">
        <v>192</v>
      </c>
      <c r="D466" s="35"/>
    </row>
    <row r="467" spans="1:4" x14ac:dyDescent="0.2">
      <c r="A467" s="32" t="s">
        <v>29</v>
      </c>
      <c r="B467" s="73" t="s">
        <v>139</v>
      </c>
      <c r="C467" s="33" t="s">
        <v>305</v>
      </c>
      <c r="D467" s="35"/>
    </row>
    <row r="468" spans="1:4" x14ac:dyDescent="0.2">
      <c r="A468" s="32"/>
      <c r="B468" s="60" t="s">
        <v>189</v>
      </c>
      <c r="C468" s="97" t="s">
        <v>190</v>
      </c>
      <c r="D468" s="35">
        <f>3220+871-15</f>
        <v>4076</v>
      </c>
    </row>
    <row r="469" spans="1:4" x14ac:dyDescent="0.2">
      <c r="A469" s="32"/>
      <c r="B469" s="60" t="s">
        <v>191</v>
      </c>
      <c r="C469" s="97" t="s">
        <v>192</v>
      </c>
      <c r="D469" s="35">
        <f>3220+871-15</f>
        <v>4076</v>
      </c>
    </row>
    <row r="470" spans="1:4" x14ac:dyDescent="0.2">
      <c r="A470" s="22" t="s">
        <v>29</v>
      </c>
      <c r="B470" s="22" t="s">
        <v>140</v>
      </c>
      <c r="C470" s="41" t="s">
        <v>246</v>
      </c>
      <c r="D470" s="77"/>
    </row>
    <row r="471" spans="1:4" x14ac:dyDescent="0.2">
      <c r="A471" s="22"/>
      <c r="B471" s="22" t="s">
        <v>189</v>
      </c>
      <c r="C471" s="53" t="s">
        <v>190</v>
      </c>
      <c r="D471" s="77">
        <f>31990+1694</f>
        <v>33684</v>
      </c>
    </row>
    <row r="472" spans="1:4" x14ac:dyDescent="0.2">
      <c r="A472" s="22"/>
      <c r="B472" s="22" t="s">
        <v>191</v>
      </c>
      <c r="C472" s="53" t="s">
        <v>192</v>
      </c>
      <c r="D472" s="77">
        <f>33657+1827</f>
        <v>35484</v>
      </c>
    </row>
    <row r="473" spans="1:4" hidden="1" x14ac:dyDescent="0.2">
      <c r="A473" s="22" t="s">
        <v>29</v>
      </c>
      <c r="B473" s="22">
        <v>72</v>
      </c>
      <c r="C473" s="23" t="s">
        <v>365</v>
      </c>
      <c r="D473" s="24"/>
    </row>
    <row r="474" spans="1:4" hidden="1" x14ac:dyDescent="0.2">
      <c r="A474" s="22"/>
      <c r="B474" s="22" t="s">
        <v>189</v>
      </c>
      <c r="C474" s="23" t="s">
        <v>190</v>
      </c>
      <c r="D474" s="24">
        <f>D477</f>
        <v>0</v>
      </c>
    </row>
    <row r="475" spans="1:4" hidden="1" x14ac:dyDescent="0.2">
      <c r="A475" s="22"/>
      <c r="B475" s="22" t="s">
        <v>191</v>
      </c>
      <c r="C475" s="53" t="s">
        <v>192</v>
      </c>
      <c r="D475" s="24">
        <f>D478</f>
        <v>0</v>
      </c>
    </row>
    <row r="476" spans="1:4" hidden="1" x14ac:dyDescent="0.2">
      <c r="A476" s="22" t="s">
        <v>29</v>
      </c>
      <c r="B476" s="22" t="s">
        <v>364</v>
      </c>
      <c r="C476" s="23" t="s">
        <v>365</v>
      </c>
      <c r="D476" s="24"/>
    </row>
    <row r="477" spans="1:4" hidden="1" x14ac:dyDescent="0.2">
      <c r="A477" s="22"/>
      <c r="B477" s="22" t="s">
        <v>189</v>
      </c>
      <c r="C477" s="23" t="s">
        <v>190</v>
      </c>
      <c r="D477" s="24">
        <f>D480</f>
        <v>0</v>
      </c>
    </row>
    <row r="478" spans="1:4" hidden="1" x14ac:dyDescent="0.2">
      <c r="A478" s="22"/>
      <c r="B478" s="22" t="s">
        <v>191</v>
      </c>
      <c r="C478" s="53" t="s">
        <v>192</v>
      </c>
      <c r="D478" s="24">
        <f>D481</f>
        <v>0</v>
      </c>
    </row>
    <row r="479" spans="1:4" hidden="1" x14ac:dyDescent="0.2">
      <c r="A479" s="32" t="s">
        <v>29</v>
      </c>
      <c r="B479" s="73" t="s">
        <v>366</v>
      </c>
      <c r="C479" s="33" t="s">
        <v>367</v>
      </c>
      <c r="D479" s="35"/>
    </row>
    <row r="480" spans="1:4" hidden="1" x14ac:dyDescent="0.2">
      <c r="A480" s="32"/>
      <c r="B480" s="60" t="s">
        <v>189</v>
      </c>
      <c r="C480" s="97" t="s">
        <v>190</v>
      </c>
      <c r="D480" s="34"/>
    </row>
    <row r="481" spans="1:9" hidden="1" x14ac:dyDescent="0.2">
      <c r="A481" s="32"/>
      <c r="B481" s="60" t="s">
        <v>191</v>
      </c>
      <c r="C481" s="97" t="s">
        <v>192</v>
      </c>
      <c r="D481" s="34"/>
    </row>
    <row r="482" spans="1:9" x14ac:dyDescent="0.2">
      <c r="A482" s="98"/>
      <c r="B482" s="98"/>
      <c r="C482" s="99" t="s">
        <v>141</v>
      </c>
      <c r="D482" s="100"/>
    </row>
    <row r="483" spans="1:9" x14ac:dyDescent="0.2">
      <c r="A483" s="98"/>
      <c r="B483" s="98" t="s">
        <v>189</v>
      </c>
      <c r="C483" s="99" t="s">
        <v>190</v>
      </c>
      <c r="D483" s="100">
        <f>D486+D588</f>
        <v>1631841</v>
      </c>
      <c r="F483" s="118"/>
      <c r="G483" s="118">
        <f>D483-D552+D30</f>
        <v>1012793</v>
      </c>
      <c r="H483" s="118">
        <f>916871-41921</f>
        <v>874950</v>
      </c>
      <c r="I483" s="118">
        <f>H483-G483</f>
        <v>-137843</v>
      </c>
    </row>
    <row r="484" spans="1:9" x14ac:dyDescent="0.2">
      <c r="A484" s="98"/>
      <c r="B484" s="98" t="s">
        <v>191</v>
      </c>
      <c r="C484" s="99" t="s">
        <v>192</v>
      </c>
      <c r="D484" s="100">
        <f>D487+D589</f>
        <v>1726811</v>
      </c>
      <c r="F484" s="118"/>
      <c r="G484" s="118">
        <f>D484-D553+D30</f>
        <v>1262405</v>
      </c>
      <c r="H484" s="118">
        <f>985423-11428</f>
        <v>973995</v>
      </c>
      <c r="I484" s="118">
        <f>H484-G484</f>
        <v>-288410</v>
      </c>
    </row>
    <row r="485" spans="1:9" x14ac:dyDescent="0.2">
      <c r="A485" s="98" t="s">
        <v>29</v>
      </c>
      <c r="B485" s="98" t="s">
        <v>39</v>
      </c>
      <c r="C485" s="99" t="s">
        <v>197</v>
      </c>
      <c r="D485" s="100"/>
    </row>
    <row r="486" spans="1:9" x14ac:dyDescent="0.2">
      <c r="A486" s="98"/>
      <c r="B486" s="98" t="s">
        <v>189</v>
      </c>
      <c r="C486" s="99" t="s">
        <v>190</v>
      </c>
      <c r="D486" s="100">
        <f>D489+D570</f>
        <v>1492198</v>
      </c>
    </row>
    <row r="487" spans="1:9" x14ac:dyDescent="0.2">
      <c r="A487" s="98"/>
      <c r="B487" s="98" t="s">
        <v>191</v>
      </c>
      <c r="C487" s="99" t="s">
        <v>192</v>
      </c>
      <c r="D487" s="100">
        <f>D490+D571</f>
        <v>1587168</v>
      </c>
    </row>
    <row r="488" spans="1:9" x14ac:dyDescent="0.2">
      <c r="A488" s="98" t="s">
        <v>29</v>
      </c>
      <c r="B488" s="98" t="s">
        <v>31</v>
      </c>
      <c r="C488" s="99" t="s">
        <v>32</v>
      </c>
      <c r="D488" s="100"/>
    </row>
    <row r="489" spans="1:9" x14ac:dyDescent="0.2">
      <c r="A489" s="98"/>
      <c r="B489" s="98" t="s">
        <v>189</v>
      </c>
      <c r="C489" s="99" t="s">
        <v>190</v>
      </c>
      <c r="D489" s="100">
        <f>D492+D528+D552+D564+D501</f>
        <v>1118497</v>
      </c>
    </row>
    <row r="490" spans="1:9" x14ac:dyDescent="0.2">
      <c r="A490" s="98"/>
      <c r="B490" s="98" t="s">
        <v>191</v>
      </c>
      <c r="C490" s="99" t="s">
        <v>192</v>
      </c>
      <c r="D490" s="100">
        <f>D493+D529+D553+D565+D502</f>
        <v>1487898</v>
      </c>
    </row>
    <row r="491" spans="1:9" x14ac:dyDescent="0.2">
      <c r="A491" s="98" t="s">
        <v>29</v>
      </c>
      <c r="B491" s="98" t="s">
        <v>142</v>
      </c>
      <c r="C491" s="99" t="s">
        <v>193</v>
      </c>
      <c r="D491" s="100"/>
    </row>
    <row r="492" spans="1:9" x14ac:dyDescent="0.2">
      <c r="A492" s="98"/>
      <c r="B492" s="98" t="s">
        <v>189</v>
      </c>
      <c r="C492" s="99" t="s">
        <v>190</v>
      </c>
      <c r="D492" s="100">
        <f>D495</f>
        <v>1350</v>
      </c>
    </row>
    <row r="493" spans="1:9" x14ac:dyDescent="0.2">
      <c r="A493" s="98"/>
      <c r="B493" s="98" t="s">
        <v>191</v>
      </c>
      <c r="C493" s="99" t="s">
        <v>192</v>
      </c>
      <c r="D493" s="100">
        <f t="shared" ref="D493" si="22">D496</f>
        <v>1350</v>
      </c>
    </row>
    <row r="494" spans="1:9" x14ac:dyDescent="0.2">
      <c r="A494" s="98" t="s">
        <v>29</v>
      </c>
      <c r="B494" s="98" t="s">
        <v>104</v>
      </c>
      <c r="C494" s="99" t="s">
        <v>105</v>
      </c>
      <c r="D494" s="100"/>
    </row>
    <row r="495" spans="1:9" x14ac:dyDescent="0.2">
      <c r="A495" s="98"/>
      <c r="B495" s="98" t="s">
        <v>189</v>
      </c>
      <c r="C495" s="99" t="s">
        <v>190</v>
      </c>
      <c r="D495" s="100">
        <f>D498</f>
        <v>1350</v>
      </c>
    </row>
    <row r="496" spans="1:9" x14ac:dyDescent="0.2">
      <c r="A496" s="98"/>
      <c r="B496" s="98" t="s">
        <v>191</v>
      </c>
      <c r="C496" s="99" t="s">
        <v>192</v>
      </c>
      <c r="D496" s="100">
        <f t="shared" ref="D496" si="23">D499</f>
        <v>1350</v>
      </c>
    </row>
    <row r="497" spans="1:4" x14ac:dyDescent="0.2">
      <c r="A497" s="32" t="s">
        <v>29</v>
      </c>
      <c r="B497" s="32" t="s">
        <v>112</v>
      </c>
      <c r="C497" s="33" t="s">
        <v>181</v>
      </c>
      <c r="D497" s="35"/>
    </row>
    <row r="498" spans="1:4" x14ac:dyDescent="0.2">
      <c r="A498" s="32"/>
      <c r="B498" s="60" t="s">
        <v>189</v>
      </c>
      <c r="C498" s="97" t="s">
        <v>190</v>
      </c>
      <c r="D498" s="34">
        <v>1350</v>
      </c>
    </row>
    <row r="499" spans="1:4" x14ac:dyDescent="0.2">
      <c r="A499" s="32"/>
      <c r="B499" s="60" t="s">
        <v>191</v>
      </c>
      <c r="C499" s="97" t="s">
        <v>192</v>
      </c>
      <c r="D499" s="34">
        <v>1350</v>
      </c>
    </row>
    <row r="500" spans="1:4" ht="25.5" x14ac:dyDescent="0.2">
      <c r="A500" s="98" t="s">
        <v>29</v>
      </c>
      <c r="B500" s="98">
        <v>56</v>
      </c>
      <c r="C500" s="99" t="s">
        <v>374</v>
      </c>
      <c r="D500" s="100"/>
    </row>
    <row r="501" spans="1:4" x14ac:dyDescent="0.2">
      <c r="A501" s="98"/>
      <c r="B501" s="98" t="s">
        <v>189</v>
      </c>
      <c r="C501" s="99" t="s">
        <v>190</v>
      </c>
      <c r="D501" s="100">
        <f>D504+D516</f>
        <v>248207</v>
      </c>
    </row>
    <row r="502" spans="1:4" x14ac:dyDescent="0.2">
      <c r="A502" s="98"/>
      <c r="B502" s="98" t="s">
        <v>191</v>
      </c>
      <c r="C502" s="99" t="s">
        <v>192</v>
      </c>
      <c r="D502" s="100">
        <f>D505+D517</f>
        <v>724583</v>
      </c>
    </row>
    <row r="503" spans="1:4" ht="25.5" x14ac:dyDescent="0.2">
      <c r="A503" s="98" t="s">
        <v>29</v>
      </c>
      <c r="B503" s="98" t="s">
        <v>332</v>
      </c>
      <c r="C503" s="99" t="s">
        <v>333</v>
      </c>
      <c r="D503" s="100"/>
    </row>
    <row r="504" spans="1:4" x14ac:dyDescent="0.2">
      <c r="A504" s="98"/>
      <c r="B504" s="98" t="s">
        <v>189</v>
      </c>
      <c r="C504" s="99" t="s">
        <v>190</v>
      </c>
      <c r="D504" s="100">
        <f>D507+D510+D513</f>
        <v>248207</v>
      </c>
    </row>
    <row r="505" spans="1:4" x14ac:dyDescent="0.2">
      <c r="A505" s="98"/>
      <c r="B505" s="98" t="s">
        <v>191</v>
      </c>
      <c r="C505" s="99" t="s">
        <v>192</v>
      </c>
      <c r="D505" s="100">
        <f>D508+D511+D514</f>
        <v>724583</v>
      </c>
    </row>
    <row r="506" spans="1:4" x14ac:dyDescent="0.2">
      <c r="A506" s="60" t="s">
        <v>29</v>
      </c>
      <c r="B506" s="60" t="s">
        <v>334</v>
      </c>
      <c r="C506" s="97" t="s">
        <v>240</v>
      </c>
      <c r="D506" s="34"/>
    </row>
    <row r="507" spans="1:4" x14ac:dyDescent="0.2">
      <c r="A507" s="60"/>
      <c r="B507" s="60" t="s">
        <v>189</v>
      </c>
      <c r="C507" s="97" t="s">
        <v>190</v>
      </c>
      <c r="D507" s="34">
        <f>10412-4016+23852-897</f>
        <v>29351</v>
      </c>
    </row>
    <row r="508" spans="1:4" x14ac:dyDescent="0.2">
      <c r="A508" s="60"/>
      <c r="B508" s="60" t="s">
        <v>191</v>
      </c>
      <c r="C508" s="97" t="s">
        <v>192</v>
      </c>
      <c r="D508" s="34">
        <f>4985-4985+12965+4313+41497+3126+4862+8747</f>
        <v>75510</v>
      </c>
    </row>
    <row r="509" spans="1:4" x14ac:dyDescent="0.2">
      <c r="A509" s="32" t="s">
        <v>29</v>
      </c>
      <c r="B509" s="32" t="s">
        <v>335</v>
      </c>
      <c r="C509" s="33" t="s">
        <v>243</v>
      </c>
      <c r="D509" s="34"/>
    </row>
    <row r="510" spans="1:4" x14ac:dyDescent="0.2">
      <c r="A510" s="32"/>
      <c r="B510" s="60" t="s">
        <v>189</v>
      </c>
      <c r="C510" s="97" t="s">
        <v>190</v>
      </c>
      <c r="D510" s="34">
        <f>58996+135157</f>
        <v>194153</v>
      </c>
    </row>
    <row r="511" spans="1:4" x14ac:dyDescent="0.2">
      <c r="A511" s="32"/>
      <c r="B511" s="60" t="s">
        <v>191</v>
      </c>
      <c r="C511" s="97" t="s">
        <v>192</v>
      </c>
      <c r="D511" s="34">
        <f>28245-28245+73461+494985-30972-17666+17716+27887</f>
        <v>565411</v>
      </c>
    </row>
    <row r="512" spans="1:4" x14ac:dyDescent="0.2">
      <c r="A512" s="32" t="s">
        <v>29</v>
      </c>
      <c r="B512" s="32" t="s">
        <v>336</v>
      </c>
      <c r="C512" s="33" t="s">
        <v>114</v>
      </c>
      <c r="D512" s="34"/>
    </row>
    <row r="513" spans="1:4" x14ac:dyDescent="0.2">
      <c r="A513" s="32"/>
      <c r="B513" s="60" t="s">
        <v>189</v>
      </c>
      <c r="C513" s="97" t="s">
        <v>190</v>
      </c>
      <c r="D513" s="34">
        <f>18732+5971</f>
        <v>24703</v>
      </c>
    </row>
    <row r="514" spans="1:4" x14ac:dyDescent="0.2">
      <c r="A514" s="32"/>
      <c r="B514" s="60" t="s">
        <v>191</v>
      </c>
      <c r="C514" s="97" t="s">
        <v>192</v>
      </c>
      <c r="D514" s="34">
        <f>15593+52562+158+4270+11079</f>
        <v>83662</v>
      </c>
    </row>
    <row r="515" spans="1:4" ht="25.5" hidden="1" x14ac:dyDescent="0.2">
      <c r="A515" s="98" t="s">
        <v>29</v>
      </c>
      <c r="B515" s="98" t="s">
        <v>375</v>
      </c>
      <c r="C515" s="99" t="s">
        <v>376</v>
      </c>
      <c r="D515" s="100"/>
    </row>
    <row r="516" spans="1:4" hidden="1" x14ac:dyDescent="0.2">
      <c r="A516" s="98"/>
      <c r="B516" s="98" t="s">
        <v>189</v>
      </c>
      <c r="C516" s="99" t="s">
        <v>190</v>
      </c>
      <c r="D516" s="100">
        <f>D519+D522+D525</f>
        <v>0</v>
      </c>
    </row>
    <row r="517" spans="1:4" hidden="1" x14ac:dyDescent="0.2">
      <c r="A517" s="98"/>
      <c r="B517" s="98" t="s">
        <v>191</v>
      </c>
      <c r="C517" s="99" t="s">
        <v>192</v>
      </c>
      <c r="D517" s="100">
        <f>D520+D523+D526</f>
        <v>0</v>
      </c>
    </row>
    <row r="518" spans="1:4" hidden="1" x14ac:dyDescent="0.2">
      <c r="A518" s="60" t="s">
        <v>29</v>
      </c>
      <c r="B518" s="60" t="s">
        <v>377</v>
      </c>
      <c r="C518" s="97" t="s">
        <v>240</v>
      </c>
      <c r="D518" s="34"/>
    </row>
    <row r="519" spans="1:4" hidden="1" x14ac:dyDescent="0.2">
      <c r="A519" s="60"/>
      <c r="B519" s="60" t="s">
        <v>189</v>
      </c>
      <c r="C519" s="97" t="s">
        <v>190</v>
      </c>
      <c r="D519" s="34">
        <f>23852-23852</f>
        <v>0</v>
      </c>
    </row>
    <row r="520" spans="1:4" hidden="1" x14ac:dyDescent="0.2">
      <c r="A520" s="60"/>
      <c r="B520" s="60" t="s">
        <v>191</v>
      </c>
      <c r="C520" s="97" t="s">
        <v>192</v>
      </c>
      <c r="D520" s="34">
        <f>3104+9861-12965</f>
        <v>0</v>
      </c>
    </row>
    <row r="521" spans="1:4" hidden="1" x14ac:dyDescent="0.2">
      <c r="A521" s="32" t="s">
        <v>29</v>
      </c>
      <c r="B521" s="32" t="s">
        <v>378</v>
      </c>
      <c r="C521" s="33" t="s">
        <v>243</v>
      </c>
      <c r="D521" s="34"/>
    </row>
    <row r="522" spans="1:4" hidden="1" x14ac:dyDescent="0.2">
      <c r="A522" s="32"/>
      <c r="B522" s="60" t="s">
        <v>189</v>
      </c>
      <c r="C522" s="97" t="s">
        <v>190</v>
      </c>
      <c r="D522" s="34">
        <f>135157-135157</f>
        <v>0</v>
      </c>
    </row>
    <row r="523" spans="1:4" hidden="1" x14ac:dyDescent="0.2">
      <c r="A523" s="32"/>
      <c r="B523" s="60" t="s">
        <v>191</v>
      </c>
      <c r="C523" s="97" t="s">
        <v>192</v>
      </c>
      <c r="D523" s="34">
        <f>13666+59795-73461</f>
        <v>0</v>
      </c>
    </row>
    <row r="524" spans="1:4" hidden="1" x14ac:dyDescent="0.2">
      <c r="A524" s="32" t="s">
        <v>29</v>
      </c>
      <c r="B524" s="32" t="s">
        <v>379</v>
      </c>
      <c r="C524" s="33" t="s">
        <v>114</v>
      </c>
      <c r="D524" s="34"/>
    </row>
    <row r="525" spans="1:4" hidden="1" x14ac:dyDescent="0.2">
      <c r="A525" s="32"/>
      <c r="B525" s="60" t="s">
        <v>189</v>
      </c>
      <c r="C525" s="97" t="s">
        <v>190</v>
      </c>
      <c r="D525" s="34">
        <f>18732-18732</f>
        <v>0</v>
      </c>
    </row>
    <row r="526" spans="1:4" hidden="1" x14ac:dyDescent="0.2">
      <c r="A526" s="32"/>
      <c r="B526" s="60" t="s">
        <v>191</v>
      </c>
      <c r="C526" s="97" t="s">
        <v>192</v>
      </c>
      <c r="D526" s="34">
        <f>0+15593-15593</f>
        <v>0</v>
      </c>
    </row>
    <row r="527" spans="1:4" ht="38.25" x14ac:dyDescent="0.2">
      <c r="A527" s="98" t="s">
        <v>29</v>
      </c>
      <c r="B527" s="98" t="s">
        <v>34</v>
      </c>
      <c r="C527" s="99" t="s">
        <v>247</v>
      </c>
      <c r="D527" s="100"/>
    </row>
    <row r="528" spans="1:4" x14ac:dyDescent="0.2">
      <c r="A528" s="98"/>
      <c r="B528" s="98" t="s">
        <v>189</v>
      </c>
      <c r="C528" s="99" t="s">
        <v>190</v>
      </c>
      <c r="D528" s="100">
        <f>D531+D540</f>
        <v>146190</v>
      </c>
    </row>
    <row r="529" spans="1:4" x14ac:dyDescent="0.2">
      <c r="A529" s="98"/>
      <c r="B529" s="98" t="s">
        <v>191</v>
      </c>
      <c r="C529" s="99" t="s">
        <v>192</v>
      </c>
      <c r="D529" s="100">
        <f>D532+D541</f>
        <v>203107</v>
      </c>
    </row>
    <row r="530" spans="1:4" hidden="1" x14ac:dyDescent="0.2">
      <c r="A530" s="98" t="s">
        <v>29</v>
      </c>
      <c r="B530" s="98" t="s">
        <v>115</v>
      </c>
      <c r="C530" s="99" t="s">
        <v>242</v>
      </c>
      <c r="D530" s="100"/>
    </row>
    <row r="531" spans="1:4" hidden="1" x14ac:dyDescent="0.2">
      <c r="A531" s="98"/>
      <c r="B531" s="98" t="s">
        <v>189</v>
      </c>
      <c r="C531" s="99" t="s">
        <v>190</v>
      </c>
      <c r="D531" s="100">
        <f>D534+D537</f>
        <v>0</v>
      </c>
    </row>
    <row r="532" spans="1:4" hidden="1" x14ac:dyDescent="0.2">
      <c r="A532" s="98"/>
      <c r="B532" s="98" t="s">
        <v>191</v>
      </c>
      <c r="C532" s="99" t="s">
        <v>192</v>
      </c>
      <c r="D532" s="100">
        <f>D535+D538</f>
        <v>0</v>
      </c>
    </row>
    <row r="533" spans="1:4" hidden="1" x14ac:dyDescent="0.2">
      <c r="A533" s="84" t="s">
        <v>29</v>
      </c>
      <c r="B533" s="84" t="s">
        <v>116</v>
      </c>
      <c r="C533" s="33" t="s">
        <v>240</v>
      </c>
      <c r="D533" s="138"/>
    </row>
    <row r="534" spans="1:4" hidden="1" x14ac:dyDescent="0.2">
      <c r="A534" s="84"/>
      <c r="B534" s="60" t="s">
        <v>189</v>
      </c>
      <c r="C534" s="97" t="s">
        <v>190</v>
      </c>
      <c r="D534" s="138"/>
    </row>
    <row r="535" spans="1:4" hidden="1" x14ac:dyDescent="0.2">
      <c r="A535" s="84"/>
      <c r="B535" s="60" t="s">
        <v>191</v>
      </c>
      <c r="C535" s="97" t="s">
        <v>192</v>
      </c>
      <c r="D535" s="100"/>
    </row>
    <row r="536" spans="1:4" hidden="1" x14ac:dyDescent="0.2">
      <c r="A536" s="58" t="s">
        <v>29</v>
      </c>
      <c r="B536" s="58" t="s">
        <v>117</v>
      </c>
      <c r="C536" s="89" t="s">
        <v>243</v>
      </c>
      <c r="D536" s="139"/>
    </row>
    <row r="537" spans="1:4" hidden="1" x14ac:dyDescent="0.2">
      <c r="A537" s="58"/>
      <c r="B537" s="60" t="s">
        <v>189</v>
      </c>
      <c r="C537" s="97" t="s">
        <v>190</v>
      </c>
      <c r="D537" s="138"/>
    </row>
    <row r="538" spans="1:4" hidden="1" x14ac:dyDescent="0.2">
      <c r="A538" s="58"/>
      <c r="B538" s="60" t="s">
        <v>191</v>
      </c>
      <c r="C538" s="97" t="s">
        <v>192</v>
      </c>
      <c r="D538" s="100"/>
    </row>
    <row r="539" spans="1:4" x14ac:dyDescent="0.2">
      <c r="A539" s="98" t="s">
        <v>29</v>
      </c>
      <c r="B539" s="98" t="s">
        <v>143</v>
      </c>
      <c r="C539" s="99" t="s">
        <v>297</v>
      </c>
      <c r="D539" s="100"/>
    </row>
    <row r="540" spans="1:4" x14ac:dyDescent="0.2">
      <c r="A540" s="98"/>
      <c r="B540" s="98" t="s">
        <v>189</v>
      </c>
      <c r="C540" s="99" t="s">
        <v>190</v>
      </c>
      <c r="D540" s="100">
        <f t="shared" ref="D540:D541" si="24">D543+D546+D549</f>
        <v>146190</v>
      </c>
    </row>
    <row r="541" spans="1:4" x14ac:dyDescent="0.2">
      <c r="A541" s="98"/>
      <c r="B541" s="98" t="s">
        <v>191</v>
      </c>
      <c r="C541" s="99" t="s">
        <v>192</v>
      </c>
      <c r="D541" s="100">
        <f t="shared" si="24"/>
        <v>203107</v>
      </c>
    </row>
    <row r="542" spans="1:4" hidden="1" x14ac:dyDescent="0.2">
      <c r="A542" s="84" t="s">
        <v>29</v>
      </c>
      <c r="B542" s="84" t="s">
        <v>144</v>
      </c>
      <c r="C542" s="33" t="s">
        <v>240</v>
      </c>
      <c r="D542" s="35"/>
    </row>
    <row r="543" spans="1:4" hidden="1" x14ac:dyDescent="0.2">
      <c r="A543" s="84"/>
      <c r="B543" s="60" t="s">
        <v>189</v>
      </c>
      <c r="C543" s="97" t="s">
        <v>190</v>
      </c>
      <c r="D543" s="34"/>
    </row>
    <row r="544" spans="1:4" hidden="1" x14ac:dyDescent="0.2">
      <c r="A544" s="84"/>
      <c r="B544" s="60" t="s">
        <v>191</v>
      </c>
      <c r="C544" s="97" t="s">
        <v>192</v>
      </c>
      <c r="D544" s="28"/>
    </row>
    <row r="545" spans="1:4" hidden="1" x14ac:dyDescent="0.2">
      <c r="A545" s="58" t="s">
        <v>29</v>
      </c>
      <c r="B545" s="58" t="s">
        <v>145</v>
      </c>
      <c r="C545" s="89" t="s">
        <v>243</v>
      </c>
      <c r="D545" s="91"/>
    </row>
    <row r="546" spans="1:4" hidden="1" x14ac:dyDescent="0.2">
      <c r="A546" s="58"/>
      <c r="B546" s="60" t="s">
        <v>189</v>
      </c>
      <c r="C546" s="97" t="s">
        <v>190</v>
      </c>
      <c r="D546" s="34"/>
    </row>
    <row r="547" spans="1:4" hidden="1" x14ac:dyDescent="0.2">
      <c r="A547" s="58"/>
      <c r="B547" s="60" t="s">
        <v>191</v>
      </c>
      <c r="C547" s="97" t="s">
        <v>192</v>
      </c>
      <c r="D547" s="28"/>
    </row>
    <row r="548" spans="1:4" x14ac:dyDescent="0.2">
      <c r="A548" s="58" t="s">
        <v>29</v>
      </c>
      <c r="B548" s="58" t="s">
        <v>251</v>
      </c>
      <c r="C548" s="69" t="s">
        <v>114</v>
      </c>
      <c r="D548" s="91"/>
    </row>
    <row r="549" spans="1:4" x14ac:dyDescent="0.2">
      <c r="A549" s="58"/>
      <c r="B549" s="60" t="s">
        <v>189</v>
      </c>
      <c r="C549" s="59" t="s">
        <v>190</v>
      </c>
      <c r="D549" s="34">
        <f>52724+90040+8500-5074</f>
        <v>146190</v>
      </c>
    </row>
    <row r="550" spans="1:4" x14ac:dyDescent="0.2">
      <c r="A550" s="58"/>
      <c r="B550" s="60" t="s">
        <v>191</v>
      </c>
      <c r="C550" s="61" t="s">
        <v>192</v>
      </c>
      <c r="D550" s="34">
        <f>273900-16524-3600-2000-4313-5413-199-6766-10641-21000-337</f>
        <v>203107</v>
      </c>
    </row>
    <row r="551" spans="1:4" ht="25.5" x14ac:dyDescent="0.2">
      <c r="A551" s="98" t="s">
        <v>29</v>
      </c>
      <c r="B551" s="98">
        <v>61</v>
      </c>
      <c r="C551" s="99" t="s">
        <v>315</v>
      </c>
      <c r="D551" s="100"/>
    </row>
    <row r="552" spans="1:4" x14ac:dyDescent="0.2">
      <c r="A552" s="98"/>
      <c r="B552" s="98" t="s">
        <v>189</v>
      </c>
      <c r="C552" s="99" t="s">
        <v>190</v>
      </c>
      <c r="D552" s="100">
        <f>D555+D558+D561</f>
        <v>628500</v>
      </c>
    </row>
    <row r="553" spans="1:4" x14ac:dyDescent="0.2">
      <c r="A553" s="98"/>
      <c r="B553" s="98" t="s">
        <v>191</v>
      </c>
      <c r="C553" s="99" t="s">
        <v>192</v>
      </c>
      <c r="D553" s="100">
        <f>D556+D559+D562</f>
        <v>473858</v>
      </c>
    </row>
    <row r="554" spans="1:4" x14ac:dyDescent="0.2">
      <c r="A554" s="60" t="s">
        <v>29</v>
      </c>
      <c r="B554" s="101" t="s">
        <v>316</v>
      </c>
      <c r="C554" s="102" t="s">
        <v>311</v>
      </c>
      <c r="D554" s="103"/>
    </row>
    <row r="555" spans="1:4" x14ac:dyDescent="0.2">
      <c r="A555" s="60"/>
      <c r="B555" s="60" t="s">
        <v>189</v>
      </c>
      <c r="C555" s="97" t="s">
        <v>190</v>
      </c>
      <c r="D555" s="103">
        <v>527867</v>
      </c>
    </row>
    <row r="556" spans="1:4" x14ac:dyDescent="0.2">
      <c r="A556" s="60"/>
      <c r="B556" s="60" t="s">
        <v>191</v>
      </c>
      <c r="C556" s="97" t="s">
        <v>192</v>
      </c>
      <c r="D556" s="103">
        <v>399368</v>
      </c>
    </row>
    <row r="557" spans="1:4" hidden="1" x14ac:dyDescent="0.2">
      <c r="A557" s="60" t="s">
        <v>29</v>
      </c>
      <c r="B557" s="101" t="s">
        <v>317</v>
      </c>
      <c r="C557" s="102" t="s">
        <v>312</v>
      </c>
      <c r="D557" s="103"/>
    </row>
    <row r="558" spans="1:4" hidden="1" x14ac:dyDescent="0.2">
      <c r="A558" s="60"/>
      <c r="B558" s="60" t="s">
        <v>189</v>
      </c>
      <c r="C558" s="97" t="s">
        <v>190</v>
      </c>
      <c r="D558" s="103">
        <v>0</v>
      </c>
    </row>
    <row r="559" spans="1:4" hidden="1" x14ac:dyDescent="0.2">
      <c r="A559" s="60"/>
      <c r="B559" s="60" t="s">
        <v>191</v>
      </c>
      <c r="C559" s="97" t="s">
        <v>192</v>
      </c>
      <c r="D559" s="103">
        <v>0</v>
      </c>
    </row>
    <row r="560" spans="1:4" x14ac:dyDescent="0.2">
      <c r="A560" s="60" t="s">
        <v>29</v>
      </c>
      <c r="B560" s="101" t="s">
        <v>318</v>
      </c>
      <c r="C560" s="102" t="s">
        <v>313</v>
      </c>
      <c r="D560" s="103"/>
    </row>
    <row r="561" spans="1:4" x14ac:dyDescent="0.2">
      <c r="A561" s="60"/>
      <c r="B561" s="60" t="s">
        <v>189</v>
      </c>
      <c r="C561" s="97" t="s">
        <v>190</v>
      </c>
      <c r="D561" s="103">
        <v>100633</v>
      </c>
    </row>
    <row r="562" spans="1:4" x14ac:dyDescent="0.2">
      <c r="A562" s="60"/>
      <c r="B562" s="60" t="s">
        <v>191</v>
      </c>
      <c r="C562" s="97" t="s">
        <v>192</v>
      </c>
      <c r="D562" s="103">
        <f>74406+84</f>
        <v>74490</v>
      </c>
    </row>
    <row r="563" spans="1:4" ht="25.5" x14ac:dyDescent="0.2">
      <c r="A563" s="104" t="s">
        <v>29</v>
      </c>
      <c r="B563" s="104" t="s">
        <v>146</v>
      </c>
      <c r="C563" s="99" t="s">
        <v>196</v>
      </c>
      <c r="D563" s="100"/>
    </row>
    <row r="564" spans="1:4" x14ac:dyDescent="0.2">
      <c r="A564" s="104"/>
      <c r="B564" s="98" t="s">
        <v>189</v>
      </c>
      <c r="C564" s="99" t="s">
        <v>190</v>
      </c>
      <c r="D564" s="100">
        <f>D567</f>
        <v>94250</v>
      </c>
    </row>
    <row r="565" spans="1:4" x14ac:dyDescent="0.2">
      <c r="A565" s="104"/>
      <c r="B565" s="98" t="s">
        <v>191</v>
      </c>
      <c r="C565" s="99" t="s">
        <v>192</v>
      </c>
      <c r="D565" s="100">
        <f t="shared" ref="D565" si="25">D568</f>
        <v>85000</v>
      </c>
    </row>
    <row r="566" spans="1:4" ht="25.5" x14ac:dyDescent="0.2">
      <c r="A566" s="58" t="s">
        <v>29</v>
      </c>
      <c r="B566" s="58" t="s">
        <v>147</v>
      </c>
      <c r="C566" s="33" t="s">
        <v>250</v>
      </c>
      <c r="D566" s="35"/>
    </row>
    <row r="567" spans="1:4" x14ac:dyDescent="0.2">
      <c r="A567" s="58"/>
      <c r="B567" s="60" t="s">
        <v>189</v>
      </c>
      <c r="C567" s="97" t="s">
        <v>190</v>
      </c>
      <c r="D567" s="34">
        <f>44250+35000+15000</f>
        <v>94250</v>
      </c>
    </row>
    <row r="568" spans="1:4" x14ac:dyDescent="0.2">
      <c r="A568" s="58"/>
      <c r="B568" s="60" t="s">
        <v>191</v>
      </c>
      <c r="C568" s="97" t="s">
        <v>192</v>
      </c>
      <c r="D568" s="34">
        <f>40000+35000+10000</f>
        <v>85000</v>
      </c>
    </row>
    <row r="569" spans="1:4" x14ac:dyDescent="0.2">
      <c r="A569" s="98" t="s">
        <v>29</v>
      </c>
      <c r="B569" s="98" t="s">
        <v>127</v>
      </c>
      <c r="C569" s="99" t="s">
        <v>37</v>
      </c>
      <c r="D569" s="100"/>
    </row>
    <row r="570" spans="1:4" x14ac:dyDescent="0.2">
      <c r="A570" s="98"/>
      <c r="B570" s="98" t="s">
        <v>189</v>
      </c>
      <c r="C570" s="99" t="s">
        <v>190</v>
      </c>
      <c r="D570" s="100">
        <f t="shared" ref="D570:D571" si="26">D573</f>
        <v>373701</v>
      </c>
    </row>
    <row r="571" spans="1:4" x14ac:dyDescent="0.2">
      <c r="A571" s="98"/>
      <c r="B571" s="98" t="s">
        <v>191</v>
      </c>
      <c r="C571" s="99" t="s">
        <v>192</v>
      </c>
      <c r="D571" s="100">
        <f t="shared" si="26"/>
        <v>99270</v>
      </c>
    </row>
    <row r="572" spans="1:4" x14ac:dyDescent="0.2">
      <c r="A572" s="98" t="s">
        <v>29</v>
      </c>
      <c r="B572" s="98" t="s">
        <v>129</v>
      </c>
      <c r="C572" s="99" t="s">
        <v>130</v>
      </c>
      <c r="D572" s="100"/>
    </row>
    <row r="573" spans="1:4" x14ac:dyDescent="0.2">
      <c r="A573" s="98"/>
      <c r="B573" s="98" t="s">
        <v>189</v>
      </c>
      <c r="C573" s="99" t="s">
        <v>190</v>
      </c>
      <c r="D573" s="100">
        <f t="shared" ref="D573:D574" si="27">D576+D585</f>
        <v>373701</v>
      </c>
    </row>
    <row r="574" spans="1:4" x14ac:dyDescent="0.2">
      <c r="A574" s="98"/>
      <c r="B574" s="98" t="s">
        <v>191</v>
      </c>
      <c r="C574" s="99" t="s">
        <v>192</v>
      </c>
      <c r="D574" s="100">
        <f t="shared" si="27"/>
        <v>99270</v>
      </c>
    </row>
    <row r="575" spans="1:4" x14ac:dyDescent="0.2">
      <c r="A575" s="98" t="s">
        <v>29</v>
      </c>
      <c r="B575" s="98" t="s">
        <v>131</v>
      </c>
      <c r="C575" s="99" t="s">
        <v>132</v>
      </c>
      <c r="D575" s="100"/>
    </row>
    <row r="576" spans="1:4" x14ac:dyDescent="0.2">
      <c r="A576" s="98"/>
      <c r="B576" s="98" t="s">
        <v>189</v>
      </c>
      <c r="C576" s="99" t="s">
        <v>190</v>
      </c>
      <c r="D576" s="100">
        <f t="shared" ref="D576:D577" si="28">D579+D582</f>
        <v>370001</v>
      </c>
    </row>
    <row r="577" spans="1:4" x14ac:dyDescent="0.2">
      <c r="A577" s="98"/>
      <c r="B577" s="98" t="s">
        <v>191</v>
      </c>
      <c r="C577" s="99" t="s">
        <v>192</v>
      </c>
      <c r="D577" s="100">
        <f t="shared" si="28"/>
        <v>96590</v>
      </c>
    </row>
    <row r="578" spans="1:4" x14ac:dyDescent="0.2">
      <c r="A578" s="32" t="s">
        <v>29</v>
      </c>
      <c r="B578" s="32" t="s">
        <v>133</v>
      </c>
      <c r="C578" s="33" t="s">
        <v>134</v>
      </c>
      <c r="D578" s="35"/>
    </row>
    <row r="579" spans="1:4" x14ac:dyDescent="0.2">
      <c r="A579" s="32"/>
      <c r="B579" s="60" t="s">
        <v>189</v>
      </c>
      <c r="C579" s="97" t="s">
        <v>190</v>
      </c>
      <c r="D579" s="34">
        <v>370001</v>
      </c>
    </row>
    <row r="580" spans="1:4" x14ac:dyDescent="0.2">
      <c r="A580" s="32"/>
      <c r="B580" s="60" t="s">
        <v>191</v>
      </c>
      <c r="C580" s="97" t="s">
        <v>192</v>
      </c>
      <c r="D580" s="28">
        <f>98170-1580</f>
        <v>96590</v>
      </c>
    </row>
    <row r="581" spans="1:4" hidden="1" x14ac:dyDescent="0.2">
      <c r="A581" s="32" t="s">
        <v>29</v>
      </c>
      <c r="B581" s="32" t="s">
        <v>139</v>
      </c>
      <c r="C581" s="33" t="s">
        <v>14</v>
      </c>
      <c r="D581" s="34"/>
    </row>
    <row r="582" spans="1:4" hidden="1" x14ac:dyDescent="0.2">
      <c r="A582" s="32"/>
      <c r="B582" s="60" t="s">
        <v>189</v>
      </c>
      <c r="C582" s="97" t="s">
        <v>190</v>
      </c>
      <c r="D582" s="28">
        <v>0</v>
      </c>
    </row>
    <row r="583" spans="1:4" hidden="1" x14ac:dyDescent="0.2">
      <c r="A583" s="32"/>
      <c r="B583" s="60" t="s">
        <v>191</v>
      </c>
      <c r="C583" s="97" t="s">
        <v>192</v>
      </c>
      <c r="D583" s="28">
        <v>0</v>
      </c>
    </row>
    <row r="584" spans="1:4" x14ac:dyDescent="0.2">
      <c r="A584" s="32" t="s">
        <v>29</v>
      </c>
      <c r="B584" s="32" t="s">
        <v>140</v>
      </c>
      <c r="C584" s="33" t="s">
        <v>322</v>
      </c>
      <c r="D584" s="28"/>
    </row>
    <row r="585" spans="1:4" x14ac:dyDescent="0.2">
      <c r="A585" s="32"/>
      <c r="B585" s="60" t="s">
        <v>189</v>
      </c>
      <c r="C585" s="97" t="s">
        <v>190</v>
      </c>
      <c r="D585" s="28">
        <v>3700</v>
      </c>
    </row>
    <row r="586" spans="1:4" x14ac:dyDescent="0.2">
      <c r="A586" s="32"/>
      <c r="B586" s="60" t="s">
        <v>191</v>
      </c>
      <c r="C586" s="97" t="s">
        <v>192</v>
      </c>
      <c r="D586" s="28">
        <f>1100+1580</f>
        <v>2680</v>
      </c>
    </row>
    <row r="587" spans="1:4" x14ac:dyDescent="0.2">
      <c r="A587" s="98" t="s">
        <v>148</v>
      </c>
      <c r="B587" s="98" t="s">
        <v>149</v>
      </c>
      <c r="C587" s="99" t="s">
        <v>248</v>
      </c>
      <c r="D587" s="100"/>
    </row>
    <row r="588" spans="1:4" x14ac:dyDescent="0.2">
      <c r="A588" s="98"/>
      <c r="B588" s="98" t="s">
        <v>189</v>
      </c>
      <c r="C588" s="99" t="s">
        <v>190</v>
      </c>
      <c r="D588" s="100">
        <f>D591+D603</f>
        <v>139643</v>
      </c>
    </row>
    <row r="589" spans="1:4" x14ac:dyDescent="0.2">
      <c r="A589" s="98"/>
      <c r="B589" s="98" t="s">
        <v>191</v>
      </c>
      <c r="C589" s="99" t="s">
        <v>192</v>
      </c>
      <c r="D589" s="100">
        <f>D592+D604</f>
        <v>139643</v>
      </c>
    </row>
    <row r="590" spans="1:4" x14ac:dyDescent="0.2">
      <c r="A590" s="98" t="s">
        <v>148</v>
      </c>
      <c r="B590" s="98" t="s">
        <v>31</v>
      </c>
      <c r="C590" s="99" t="s">
        <v>32</v>
      </c>
      <c r="D590" s="100"/>
    </row>
    <row r="591" spans="1:4" x14ac:dyDescent="0.2">
      <c r="A591" s="98"/>
      <c r="B591" s="98" t="s">
        <v>189</v>
      </c>
      <c r="C591" s="99" t="s">
        <v>190</v>
      </c>
      <c r="D591" s="100">
        <f t="shared" ref="D591:D592" si="29">D594</f>
        <v>138743</v>
      </c>
    </row>
    <row r="592" spans="1:4" x14ac:dyDescent="0.2">
      <c r="A592" s="98"/>
      <c r="B592" s="98" t="s">
        <v>191</v>
      </c>
      <c r="C592" s="99" t="s">
        <v>192</v>
      </c>
      <c r="D592" s="100">
        <f t="shared" si="29"/>
        <v>138743</v>
      </c>
    </row>
    <row r="593" spans="1:4" x14ac:dyDescent="0.2">
      <c r="A593" s="98" t="s">
        <v>148</v>
      </c>
      <c r="B593" s="98" t="s">
        <v>142</v>
      </c>
      <c r="C593" s="99" t="s">
        <v>193</v>
      </c>
      <c r="D593" s="100"/>
    </row>
    <row r="594" spans="1:4" x14ac:dyDescent="0.2">
      <c r="A594" s="98"/>
      <c r="B594" s="98" t="s">
        <v>189</v>
      </c>
      <c r="C594" s="99" t="s">
        <v>190</v>
      </c>
      <c r="D594" s="100">
        <f>D597+D600</f>
        <v>138743</v>
      </c>
    </row>
    <row r="595" spans="1:4" x14ac:dyDescent="0.2">
      <c r="A595" s="98"/>
      <c r="B595" s="98" t="s">
        <v>191</v>
      </c>
      <c r="C595" s="99" t="s">
        <v>192</v>
      </c>
      <c r="D595" s="100">
        <f>D598+D601</f>
        <v>138743</v>
      </c>
    </row>
    <row r="596" spans="1:4" x14ac:dyDescent="0.2">
      <c r="A596" s="32" t="s">
        <v>148</v>
      </c>
      <c r="B596" s="32" t="s">
        <v>99</v>
      </c>
      <c r="C596" s="45" t="s">
        <v>231</v>
      </c>
      <c r="D596" s="35"/>
    </row>
    <row r="597" spans="1:4" x14ac:dyDescent="0.2">
      <c r="A597" s="32"/>
      <c r="B597" s="60" t="s">
        <v>189</v>
      </c>
      <c r="C597" s="97" t="s">
        <v>190</v>
      </c>
      <c r="D597" s="34">
        <v>137843</v>
      </c>
    </row>
    <row r="598" spans="1:4" x14ac:dyDescent="0.2">
      <c r="A598" s="32"/>
      <c r="B598" s="60" t="s">
        <v>191</v>
      </c>
      <c r="C598" s="97" t="s">
        <v>192</v>
      </c>
      <c r="D598" s="34">
        <v>137843</v>
      </c>
    </row>
    <row r="599" spans="1:4" x14ac:dyDescent="0.2">
      <c r="A599" s="32" t="s">
        <v>148</v>
      </c>
      <c r="B599" s="32" t="s">
        <v>100</v>
      </c>
      <c r="C599" s="33" t="s">
        <v>249</v>
      </c>
      <c r="D599" s="35"/>
    </row>
    <row r="600" spans="1:4" x14ac:dyDescent="0.2">
      <c r="A600" s="32"/>
      <c r="B600" s="60" t="s">
        <v>189</v>
      </c>
      <c r="C600" s="97" t="s">
        <v>190</v>
      </c>
      <c r="D600" s="34">
        <v>900</v>
      </c>
    </row>
    <row r="601" spans="1:4" x14ac:dyDescent="0.2">
      <c r="A601" s="32"/>
      <c r="B601" s="60" t="s">
        <v>191</v>
      </c>
      <c r="C601" s="97" t="s">
        <v>192</v>
      </c>
      <c r="D601" s="34">
        <v>900</v>
      </c>
    </row>
    <row r="602" spans="1:4" x14ac:dyDescent="0.2">
      <c r="A602" s="98" t="s">
        <v>148</v>
      </c>
      <c r="B602" s="98" t="s">
        <v>127</v>
      </c>
      <c r="C602" s="99" t="s">
        <v>37</v>
      </c>
      <c r="D602" s="100"/>
    </row>
    <row r="603" spans="1:4" x14ac:dyDescent="0.2">
      <c r="A603" s="98"/>
      <c r="B603" s="98" t="s">
        <v>189</v>
      </c>
      <c r="C603" s="99" t="s">
        <v>190</v>
      </c>
      <c r="D603" s="100">
        <f t="shared" ref="D603:D604" si="30">D606</f>
        <v>900</v>
      </c>
    </row>
    <row r="604" spans="1:4" x14ac:dyDescent="0.2">
      <c r="A604" s="98"/>
      <c r="B604" s="98" t="s">
        <v>191</v>
      </c>
      <c r="C604" s="99" t="s">
        <v>192</v>
      </c>
      <c r="D604" s="100">
        <f t="shared" si="30"/>
        <v>900</v>
      </c>
    </row>
    <row r="605" spans="1:4" x14ac:dyDescent="0.2">
      <c r="A605" s="32" t="s">
        <v>148</v>
      </c>
      <c r="B605" s="32" t="s">
        <v>150</v>
      </c>
      <c r="C605" s="33" t="s">
        <v>136</v>
      </c>
      <c r="D605" s="35"/>
    </row>
    <row r="606" spans="1:4" x14ac:dyDescent="0.2">
      <c r="A606" s="32"/>
      <c r="B606" s="60" t="s">
        <v>189</v>
      </c>
      <c r="C606" s="97" t="s">
        <v>190</v>
      </c>
      <c r="D606" s="34">
        <v>900</v>
      </c>
    </row>
    <row r="607" spans="1:4" x14ac:dyDescent="0.2">
      <c r="A607" s="32"/>
      <c r="B607" s="60" t="s">
        <v>191</v>
      </c>
      <c r="C607" s="97" t="s">
        <v>192</v>
      </c>
      <c r="D607" s="34">
        <v>900</v>
      </c>
    </row>
    <row r="608" spans="1:4" x14ac:dyDescent="0.2">
      <c r="A608" s="105" t="s">
        <v>29</v>
      </c>
      <c r="B608" s="105"/>
      <c r="C608" s="106" t="s">
        <v>151</v>
      </c>
      <c r="D608" s="107"/>
    </row>
    <row r="609" spans="1:4" x14ac:dyDescent="0.2">
      <c r="A609" s="105"/>
      <c r="B609" s="105" t="s">
        <v>189</v>
      </c>
      <c r="C609" s="106" t="s">
        <v>190</v>
      </c>
      <c r="D609" s="107">
        <f t="shared" ref="D609:D610" si="31">D612</f>
        <v>5497</v>
      </c>
    </row>
    <row r="610" spans="1:4" x14ac:dyDescent="0.2">
      <c r="A610" s="105"/>
      <c r="B610" s="105" t="s">
        <v>191</v>
      </c>
      <c r="C610" s="106" t="s">
        <v>192</v>
      </c>
      <c r="D610" s="107">
        <f t="shared" si="31"/>
        <v>5497</v>
      </c>
    </row>
    <row r="611" spans="1:4" x14ac:dyDescent="0.2">
      <c r="A611" s="105" t="s">
        <v>29</v>
      </c>
      <c r="B611" s="105" t="s">
        <v>39</v>
      </c>
      <c r="C611" s="106" t="s">
        <v>197</v>
      </c>
      <c r="D611" s="107"/>
    </row>
    <row r="612" spans="1:4" x14ac:dyDescent="0.2">
      <c r="A612" s="105"/>
      <c r="B612" s="105" t="s">
        <v>189</v>
      </c>
      <c r="C612" s="106" t="s">
        <v>190</v>
      </c>
      <c r="D612" s="107">
        <f t="shared" ref="D612:D613" si="32">D615</f>
        <v>5497</v>
      </c>
    </row>
    <row r="613" spans="1:4" x14ac:dyDescent="0.2">
      <c r="A613" s="105"/>
      <c r="B613" s="105" t="s">
        <v>191</v>
      </c>
      <c r="C613" s="106" t="s">
        <v>192</v>
      </c>
      <c r="D613" s="107">
        <f t="shared" si="32"/>
        <v>5497</v>
      </c>
    </row>
    <row r="614" spans="1:4" x14ac:dyDescent="0.2">
      <c r="A614" s="105" t="s">
        <v>29</v>
      </c>
      <c r="B614" s="105" t="s">
        <v>31</v>
      </c>
      <c r="C614" s="106" t="s">
        <v>32</v>
      </c>
      <c r="D614" s="107"/>
    </row>
    <row r="615" spans="1:4" x14ac:dyDescent="0.2">
      <c r="A615" s="105"/>
      <c r="B615" s="105" t="s">
        <v>189</v>
      </c>
      <c r="C615" s="106" t="s">
        <v>190</v>
      </c>
      <c r="D615" s="107">
        <f>D618+D627</f>
        <v>5497</v>
      </c>
    </row>
    <row r="616" spans="1:4" x14ac:dyDescent="0.2">
      <c r="A616" s="105"/>
      <c r="B616" s="105" t="s">
        <v>191</v>
      </c>
      <c r="C616" s="106" t="s">
        <v>192</v>
      </c>
      <c r="D616" s="107">
        <f>D619+D628</f>
        <v>5497</v>
      </c>
    </row>
    <row r="617" spans="1:4" ht="25.5" hidden="1" x14ac:dyDescent="0.2">
      <c r="A617" s="105" t="s">
        <v>29</v>
      </c>
      <c r="B617" s="108" t="s">
        <v>113</v>
      </c>
      <c r="C617" s="109" t="s">
        <v>194</v>
      </c>
      <c r="D617" s="110"/>
    </row>
    <row r="618" spans="1:4" hidden="1" x14ac:dyDescent="0.2">
      <c r="A618" s="105"/>
      <c r="B618" s="105" t="s">
        <v>189</v>
      </c>
      <c r="C618" s="106" t="s">
        <v>190</v>
      </c>
      <c r="D618" s="110">
        <f t="shared" ref="D618:D619" si="33">D621</f>
        <v>0</v>
      </c>
    </row>
    <row r="619" spans="1:4" hidden="1" x14ac:dyDescent="0.2">
      <c r="A619" s="105"/>
      <c r="B619" s="105" t="s">
        <v>191</v>
      </c>
      <c r="C619" s="106" t="s">
        <v>192</v>
      </c>
      <c r="D619" s="110">
        <f t="shared" si="33"/>
        <v>0</v>
      </c>
    </row>
    <row r="620" spans="1:4" hidden="1" x14ac:dyDescent="0.2">
      <c r="A620" s="105" t="s">
        <v>29</v>
      </c>
      <c r="B620" s="108" t="s">
        <v>152</v>
      </c>
      <c r="C620" s="109" t="s">
        <v>153</v>
      </c>
      <c r="D620" s="110"/>
    </row>
    <row r="621" spans="1:4" hidden="1" x14ac:dyDescent="0.2">
      <c r="A621" s="105"/>
      <c r="B621" s="105" t="s">
        <v>189</v>
      </c>
      <c r="C621" s="106" t="s">
        <v>190</v>
      </c>
      <c r="D621" s="110">
        <f t="shared" ref="D621:D622" si="34">D624</f>
        <v>0</v>
      </c>
    </row>
    <row r="622" spans="1:4" hidden="1" x14ac:dyDescent="0.2">
      <c r="A622" s="105"/>
      <c r="B622" s="105" t="s">
        <v>191</v>
      </c>
      <c r="C622" s="106" t="s">
        <v>192</v>
      </c>
      <c r="D622" s="110">
        <f t="shared" si="34"/>
        <v>0</v>
      </c>
    </row>
    <row r="623" spans="1:4" hidden="1" x14ac:dyDescent="0.2">
      <c r="A623" s="32" t="s">
        <v>29</v>
      </c>
      <c r="B623" s="58" t="s">
        <v>154</v>
      </c>
      <c r="C623" s="59" t="s">
        <v>241</v>
      </c>
      <c r="D623" s="111"/>
    </row>
    <row r="624" spans="1:4" hidden="1" x14ac:dyDescent="0.2">
      <c r="A624" s="32"/>
      <c r="B624" s="60" t="s">
        <v>189</v>
      </c>
      <c r="C624" s="97" t="s">
        <v>190</v>
      </c>
      <c r="D624" s="35"/>
    </row>
    <row r="625" spans="1:5" hidden="1" x14ac:dyDescent="0.2">
      <c r="A625" s="32"/>
      <c r="B625" s="60" t="s">
        <v>191</v>
      </c>
      <c r="C625" s="97" t="s">
        <v>192</v>
      </c>
      <c r="D625" s="27"/>
    </row>
    <row r="626" spans="1:5" ht="38.25" x14ac:dyDescent="0.2">
      <c r="A626" s="112" t="s">
        <v>29</v>
      </c>
      <c r="B626" s="108">
        <v>58</v>
      </c>
      <c r="C626" s="109" t="s">
        <v>195</v>
      </c>
      <c r="D626" s="110"/>
    </row>
    <row r="627" spans="1:5" x14ac:dyDescent="0.2">
      <c r="A627" s="105"/>
      <c r="B627" s="105" t="s">
        <v>189</v>
      </c>
      <c r="C627" s="106" t="s">
        <v>190</v>
      </c>
      <c r="D627" s="110">
        <f t="shared" ref="D627:D628" si="35">D630</f>
        <v>5497</v>
      </c>
    </row>
    <row r="628" spans="1:5" x14ac:dyDescent="0.2">
      <c r="A628" s="105"/>
      <c r="B628" s="105" t="s">
        <v>191</v>
      </c>
      <c r="C628" s="106" t="s">
        <v>192</v>
      </c>
      <c r="D628" s="110">
        <f t="shared" si="35"/>
        <v>5497</v>
      </c>
    </row>
    <row r="629" spans="1:5" x14ac:dyDescent="0.2">
      <c r="A629" s="105" t="s">
        <v>29</v>
      </c>
      <c r="B629" s="113" t="s">
        <v>304</v>
      </c>
      <c r="C629" s="109" t="s">
        <v>153</v>
      </c>
      <c r="D629" s="110"/>
    </row>
    <row r="630" spans="1:5" x14ac:dyDescent="0.2">
      <c r="A630" s="105"/>
      <c r="B630" s="105" t="s">
        <v>189</v>
      </c>
      <c r="C630" s="106" t="s">
        <v>190</v>
      </c>
      <c r="D630" s="110">
        <f t="shared" ref="D630:D631" si="36">D633</f>
        <v>5497</v>
      </c>
    </row>
    <row r="631" spans="1:5" x14ac:dyDescent="0.2">
      <c r="A631" s="105"/>
      <c r="B631" s="105" t="s">
        <v>191</v>
      </c>
      <c r="C631" s="106" t="s">
        <v>192</v>
      </c>
      <c r="D631" s="110">
        <f t="shared" si="36"/>
        <v>5497</v>
      </c>
    </row>
    <row r="632" spans="1:5" x14ac:dyDescent="0.2">
      <c r="A632" s="32" t="s">
        <v>29</v>
      </c>
      <c r="B632" s="58" t="s">
        <v>124</v>
      </c>
      <c r="C632" s="59" t="s">
        <v>241</v>
      </c>
      <c r="D632" s="111"/>
    </row>
    <row r="633" spans="1:5" x14ac:dyDescent="0.2">
      <c r="A633" s="32"/>
      <c r="B633" s="60" t="s">
        <v>189</v>
      </c>
      <c r="C633" s="97" t="s">
        <v>190</v>
      </c>
      <c r="D633" s="35">
        <v>5497</v>
      </c>
    </row>
    <row r="634" spans="1:5" x14ac:dyDescent="0.2">
      <c r="A634" s="32"/>
      <c r="B634" s="60" t="s">
        <v>191</v>
      </c>
      <c r="C634" s="97" t="s">
        <v>192</v>
      </c>
      <c r="D634" s="27">
        <v>5497</v>
      </c>
    </row>
    <row r="635" spans="1:5" x14ac:dyDescent="0.2">
      <c r="A635" s="32" t="s">
        <v>29</v>
      </c>
      <c r="B635" s="32" t="s">
        <v>155</v>
      </c>
      <c r="C635" s="59" t="s">
        <v>156</v>
      </c>
      <c r="D635" s="111">
        <f>D15-D88</f>
        <v>-265670</v>
      </c>
    </row>
    <row r="637" spans="1:5" x14ac:dyDescent="0.2">
      <c r="C637" s="134" t="s">
        <v>394</v>
      </c>
    </row>
    <row r="638" spans="1:5" x14ac:dyDescent="0.2">
      <c r="C638" s="126" t="s">
        <v>344</v>
      </c>
      <c r="E638" s="127">
        <v>359092</v>
      </c>
    </row>
    <row r="639" spans="1:5" x14ac:dyDescent="0.2">
      <c r="C639" s="126" t="s">
        <v>345</v>
      </c>
      <c r="E639" s="127">
        <v>310854</v>
      </c>
    </row>
    <row r="640" spans="1:5" x14ac:dyDescent="0.2">
      <c r="C640" s="126" t="s">
        <v>346</v>
      </c>
      <c r="E640" s="127">
        <v>-42634</v>
      </c>
    </row>
    <row r="641" spans="1:5" x14ac:dyDescent="0.2">
      <c r="C641" s="126" t="s">
        <v>347</v>
      </c>
      <c r="E641" s="127">
        <v>-181467</v>
      </c>
    </row>
    <row r="642" spans="1:5" x14ac:dyDescent="0.2">
      <c r="C642" s="126" t="s">
        <v>348</v>
      </c>
      <c r="E642" s="127">
        <v>-155786</v>
      </c>
    </row>
    <row r="643" spans="1:5" x14ac:dyDescent="0.2">
      <c r="C643" s="126" t="s">
        <v>349</v>
      </c>
      <c r="E643" s="127">
        <v>-176226</v>
      </c>
    </row>
    <row r="644" spans="1:5" x14ac:dyDescent="0.2">
      <c r="C644" s="126" t="s">
        <v>350</v>
      </c>
      <c r="E644" s="127">
        <v>-66728</v>
      </c>
    </row>
    <row r="645" spans="1:5" x14ac:dyDescent="0.2">
      <c r="C645" s="126" t="s">
        <v>351</v>
      </c>
      <c r="E645" s="127">
        <v>213359</v>
      </c>
    </row>
    <row r="646" spans="1:5" x14ac:dyDescent="0.2">
      <c r="C646" s="126" t="s">
        <v>371</v>
      </c>
      <c r="E646" s="127">
        <f>15677+134</f>
        <v>15811</v>
      </c>
    </row>
    <row r="647" spans="1:5" x14ac:dyDescent="0.2">
      <c r="C647" s="126" t="s">
        <v>387</v>
      </c>
      <c r="E647" s="127">
        <f>258596+86</f>
        <v>258682</v>
      </c>
    </row>
    <row r="648" spans="1:5" x14ac:dyDescent="0.2">
      <c r="C648" s="131" t="s">
        <v>388</v>
      </c>
      <c r="E648" s="128">
        <f>SUM(E638:E647)</f>
        <v>534957</v>
      </c>
    </row>
    <row r="649" spans="1:5" x14ac:dyDescent="0.2">
      <c r="E649" s="127"/>
    </row>
    <row r="650" spans="1:5" hidden="1" x14ac:dyDescent="0.2">
      <c r="A650" s="114" t="s">
        <v>295</v>
      </c>
      <c r="B650" s="114"/>
      <c r="C650" s="3" t="s">
        <v>355</v>
      </c>
      <c r="D650" s="2" t="s">
        <v>337</v>
      </c>
    </row>
    <row r="651" spans="1:5" ht="18" hidden="1" customHeight="1" x14ac:dyDescent="0.2">
      <c r="A651" s="114" t="s">
        <v>296</v>
      </c>
      <c r="B651" s="114"/>
      <c r="C651" s="3" t="s">
        <v>321</v>
      </c>
      <c r="D651" s="2" t="s">
        <v>338</v>
      </c>
    </row>
  </sheetData>
  <mergeCells count="2">
    <mergeCell ref="A11:C11"/>
    <mergeCell ref="A8:D9"/>
  </mergeCells>
  <pageMargins left="0.74803149606299213" right="0.11811023622047245" top="0.74803149606299213" bottom="0.51181102362204722" header="0.31496062992125984" footer="0.31496062992125984"/>
  <pageSetup paperSize="9" scale="78" orientation="portrait" r:id="rId1"/>
  <headerFooter>
    <oddFooter>&amp;C&amp;P</oddFooter>
  </headerFooter>
  <rowBreaks count="5" manualBreakCount="5">
    <brk id="84" max="3" man="1"/>
    <brk id="151" max="3" man="1"/>
    <brk id="229" max="3" man="1"/>
    <brk id="304" max="3" man="1"/>
    <brk id="573"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82B50-8520-46E5-93A0-523BA18B98EB}">
  <sheetPr>
    <tabColor rgb="FFFFC000"/>
  </sheetPr>
  <dimension ref="A1:J641"/>
  <sheetViews>
    <sheetView zoomScale="150" zoomScaleNormal="150" zoomScaleSheetLayoutView="130" workbookViewId="0">
      <pane xSplit="3" ySplit="14" topLeftCell="D15" activePane="bottomRight" state="frozen"/>
      <selection pane="topRight" activeCell="D1" sqref="D1"/>
      <selection pane="bottomLeft" activeCell="A9" sqref="A9"/>
      <selection pane="bottomRight" activeCell="L9" sqref="L9"/>
    </sheetView>
  </sheetViews>
  <sheetFormatPr defaultColWidth="9.140625" defaultRowHeight="12.75" x14ac:dyDescent="0.2"/>
  <cols>
    <col min="1" max="1" width="10.42578125" style="2" customWidth="1"/>
    <col min="2" max="2" width="9.140625" style="2"/>
    <col min="3" max="3" width="55.7109375" style="2" customWidth="1"/>
    <col min="4" max="6" width="15.7109375" style="2" customWidth="1"/>
    <col min="7" max="10" width="9.140625" style="2" hidden="1" customWidth="1"/>
    <col min="11" max="16384" width="9.140625" style="2"/>
  </cols>
  <sheetData>
    <row r="1" spans="1:10" hidden="1" x14ac:dyDescent="0.2">
      <c r="A1" s="1"/>
      <c r="D1" s="142" t="s">
        <v>339</v>
      </c>
      <c r="E1" s="142"/>
      <c r="F1" s="142"/>
    </row>
    <row r="2" spans="1:10" hidden="1" x14ac:dyDescent="0.2">
      <c r="A2" s="1"/>
      <c r="D2" s="142" t="s">
        <v>343</v>
      </c>
      <c r="E2" s="142"/>
      <c r="F2" s="142"/>
    </row>
    <row r="3" spans="1:10" x14ac:dyDescent="0.2">
      <c r="A3" s="1"/>
      <c r="D3" s="4"/>
      <c r="E3" s="4"/>
      <c r="F3" s="137" t="s">
        <v>397</v>
      </c>
    </row>
    <row r="4" spans="1:10" hidden="1" x14ac:dyDescent="0.2">
      <c r="A4" s="1"/>
      <c r="D4" s="143" t="s">
        <v>340</v>
      </c>
      <c r="E4" s="143"/>
      <c r="F4" s="143"/>
    </row>
    <row r="5" spans="1:10" hidden="1" x14ac:dyDescent="0.2">
      <c r="A5" s="1"/>
      <c r="D5" s="144" t="s">
        <v>341</v>
      </c>
      <c r="E5" s="144"/>
      <c r="F5" s="144"/>
    </row>
    <row r="6" spans="1:10" hidden="1" x14ac:dyDescent="0.2">
      <c r="A6" s="1"/>
      <c r="D6" s="144" t="s">
        <v>342</v>
      </c>
      <c r="E6" s="144"/>
      <c r="F6" s="144"/>
    </row>
    <row r="7" spans="1:10" x14ac:dyDescent="0.2">
      <c r="A7" s="1"/>
      <c r="D7" s="4"/>
      <c r="E7" s="4"/>
      <c r="F7" s="5"/>
    </row>
    <row r="8" spans="1:10" ht="15" customHeight="1" x14ac:dyDescent="0.2">
      <c r="A8" s="145" t="s">
        <v>398</v>
      </c>
      <c r="B8" s="145"/>
      <c r="C8" s="145"/>
      <c r="D8" s="145"/>
      <c r="E8" s="145"/>
      <c r="F8" s="145"/>
    </row>
    <row r="9" spans="1:10" ht="18.75" customHeight="1" x14ac:dyDescent="0.2">
      <c r="A9" s="145"/>
      <c r="B9" s="145"/>
      <c r="C9" s="145"/>
      <c r="D9" s="145"/>
      <c r="E9" s="145"/>
      <c r="F9" s="145"/>
    </row>
    <row r="10" spans="1:10" ht="10.5" customHeight="1" x14ac:dyDescent="0.2">
      <c r="A10" s="8"/>
      <c r="B10" s="8"/>
      <c r="C10" s="8"/>
      <c r="D10" s="8"/>
      <c r="E10" s="8"/>
      <c r="F10" s="8"/>
    </row>
    <row r="11" spans="1:10" ht="15" customHeight="1" x14ac:dyDescent="0.2">
      <c r="A11" s="140" t="s">
        <v>157</v>
      </c>
      <c r="B11" s="140"/>
      <c r="C11" s="140"/>
      <c r="D11" s="9"/>
      <c r="E11" s="9"/>
      <c r="F11" s="9"/>
    </row>
    <row r="12" spans="1:10" ht="19.5" customHeight="1" x14ac:dyDescent="0.2">
      <c r="A12" s="10"/>
      <c r="B12" s="11"/>
      <c r="C12" s="11"/>
      <c r="D12" s="12"/>
      <c r="E12" s="12"/>
      <c r="F12" s="12" t="s">
        <v>287</v>
      </c>
    </row>
    <row r="13" spans="1:10" ht="51" x14ac:dyDescent="0.2">
      <c r="A13" s="13" t="s">
        <v>0</v>
      </c>
      <c r="B13" s="13" t="s">
        <v>286</v>
      </c>
      <c r="C13" s="14" t="s">
        <v>1</v>
      </c>
      <c r="D13" s="15" t="s">
        <v>399</v>
      </c>
      <c r="E13" s="15" t="s">
        <v>373</v>
      </c>
      <c r="F13" s="14" t="s">
        <v>354</v>
      </c>
      <c r="H13" s="135" t="s">
        <v>409</v>
      </c>
      <c r="I13" s="136" t="s">
        <v>410</v>
      </c>
    </row>
    <row r="14" spans="1:10" x14ac:dyDescent="0.2">
      <c r="A14" s="16"/>
      <c r="B14" s="16">
        <v>1</v>
      </c>
      <c r="C14" s="17">
        <v>2</v>
      </c>
      <c r="D14" s="17">
        <v>3</v>
      </c>
      <c r="E14" s="17">
        <v>4</v>
      </c>
      <c r="F14" s="17" t="s">
        <v>269</v>
      </c>
    </row>
    <row r="15" spans="1:10" x14ac:dyDescent="0.2">
      <c r="A15" s="18"/>
      <c r="B15" s="18"/>
      <c r="C15" s="19" t="s">
        <v>2</v>
      </c>
      <c r="D15" s="20">
        <f>D16+D34</f>
        <v>2995840</v>
      </c>
      <c r="E15" s="20">
        <f t="shared" ref="E15:F15" si="0">E16+E34</f>
        <v>3278837</v>
      </c>
      <c r="F15" s="20">
        <f t="shared" si="0"/>
        <v>282997</v>
      </c>
      <c r="G15" s="21">
        <f>F15/D15*100</f>
        <v>9.4463322473830384</v>
      </c>
      <c r="H15" s="20">
        <f>H16+H34</f>
        <v>0</v>
      </c>
      <c r="I15" s="20">
        <f>I16+I34</f>
        <v>282997</v>
      </c>
      <c r="J15" s="118">
        <f>I15-I35</f>
        <v>19660</v>
      </c>
    </row>
    <row r="16" spans="1:10" x14ac:dyDescent="0.2">
      <c r="A16" s="22"/>
      <c r="B16" s="22"/>
      <c r="C16" s="23" t="s">
        <v>3</v>
      </c>
      <c r="D16" s="24">
        <f>D17</f>
        <v>1521396</v>
      </c>
      <c r="E16" s="24">
        <f t="shared" ref="E16:F16" si="1">E17</f>
        <v>1540109</v>
      </c>
      <c r="F16" s="24">
        <f t="shared" si="1"/>
        <v>18713</v>
      </c>
      <c r="G16" s="21">
        <f t="shared" ref="G16:G85" si="2">F16/D16*100</f>
        <v>1.2299887734685775</v>
      </c>
      <c r="H16" s="24">
        <f>H17</f>
        <v>0</v>
      </c>
      <c r="I16" s="24">
        <f>I17</f>
        <v>18713</v>
      </c>
      <c r="J16" s="118">
        <v>19660</v>
      </c>
    </row>
    <row r="17" spans="1:10" x14ac:dyDescent="0.2">
      <c r="A17" s="22"/>
      <c r="B17" s="22"/>
      <c r="C17" s="23" t="s">
        <v>168</v>
      </c>
      <c r="D17" s="24">
        <f>D23+D25+D27+D18+D21+D32</f>
        <v>1521396</v>
      </c>
      <c r="E17" s="24">
        <f>E23+E25+E27+E18+E21+E32</f>
        <v>1540109</v>
      </c>
      <c r="F17" s="24">
        <f t="shared" ref="F17" si="3">F23+F25+F27+F18+F21</f>
        <v>18713</v>
      </c>
      <c r="G17" s="21">
        <f t="shared" si="2"/>
        <v>1.2299887734685775</v>
      </c>
      <c r="H17" s="24">
        <f>H23+H25+H27+H18+H21+H32</f>
        <v>0</v>
      </c>
      <c r="I17" s="24">
        <f>I23+I25+I27+I18+I21+I32</f>
        <v>18713</v>
      </c>
      <c r="J17" s="118">
        <f>J16-J15</f>
        <v>0</v>
      </c>
    </row>
    <row r="18" spans="1:10" x14ac:dyDescent="0.2">
      <c r="A18" s="22" t="s">
        <v>262</v>
      </c>
      <c r="B18" s="22"/>
      <c r="C18" s="23" t="s">
        <v>252</v>
      </c>
      <c r="D18" s="24">
        <f t="shared" ref="D18:D19" si="4">D19</f>
        <v>500</v>
      </c>
      <c r="E18" s="24">
        <f t="shared" ref="E18:F19" si="5">E19</f>
        <v>646</v>
      </c>
      <c r="F18" s="24">
        <f t="shared" si="5"/>
        <v>146</v>
      </c>
      <c r="G18" s="21">
        <f t="shared" si="2"/>
        <v>29.2</v>
      </c>
      <c r="H18" s="24">
        <f t="shared" ref="H18:I19" si="6">H19</f>
        <v>0</v>
      </c>
      <c r="I18" s="24">
        <f t="shared" si="6"/>
        <v>146</v>
      </c>
    </row>
    <row r="19" spans="1:10" x14ac:dyDescent="0.2">
      <c r="A19" s="22" t="s">
        <v>261</v>
      </c>
      <c r="B19" s="22"/>
      <c r="C19" s="23" t="s">
        <v>253</v>
      </c>
      <c r="D19" s="24">
        <f t="shared" si="4"/>
        <v>500</v>
      </c>
      <c r="E19" s="24">
        <f t="shared" si="5"/>
        <v>646</v>
      </c>
      <c r="F19" s="24">
        <f t="shared" si="5"/>
        <v>146</v>
      </c>
      <c r="G19" s="21">
        <f t="shared" si="2"/>
        <v>29.2</v>
      </c>
      <c r="H19" s="24">
        <f t="shared" si="6"/>
        <v>0</v>
      </c>
      <c r="I19" s="24">
        <f t="shared" si="6"/>
        <v>146</v>
      </c>
    </row>
    <row r="20" spans="1:10" ht="25.5" x14ac:dyDescent="0.2">
      <c r="A20" s="25" t="s">
        <v>260</v>
      </c>
      <c r="B20" s="25"/>
      <c r="C20" s="26" t="s">
        <v>254</v>
      </c>
      <c r="D20" s="27">
        <v>500</v>
      </c>
      <c r="E20" s="28">
        <f>'Buget 2024'!D20</f>
        <v>646</v>
      </c>
      <c r="F20" s="29">
        <f>E20-D20</f>
        <v>146</v>
      </c>
      <c r="G20" s="21">
        <f t="shared" si="2"/>
        <v>29.2</v>
      </c>
      <c r="H20" s="27"/>
      <c r="I20" s="27">
        <f>F20-H20</f>
        <v>146</v>
      </c>
    </row>
    <row r="21" spans="1:10" x14ac:dyDescent="0.2">
      <c r="A21" s="30" t="s">
        <v>283</v>
      </c>
      <c r="B21" s="22"/>
      <c r="C21" s="23" t="s">
        <v>285</v>
      </c>
      <c r="D21" s="24">
        <f>D22</f>
        <v>100</v>
      </c>
      <c r="E21" s="24">
        <f t="shared" ref="E21:F21" si="7">E22</f>
        <v>238</v>
      </c>
      <c r="F21" s="24">
        <f t="shared" si="7"/>
        <v>138</v>
      </c>
      <c r="G21" s="21">
        <f t="shared" si="2"/>
        <v>138</v>
      </c>
      <c r="H21" s="24">
        <f>H22</f>
        <v>0</v>
      </c>
      <c r="I21" s="24">
        <f>I22</f>
        <v>138</v>
      </c>
    </row>
    <row r="22" spans="1:10" x14ac:dyDescent="0.2">
      <c r="A22" s="31" t="s">
        <v>284</v>
      </c>
      <c r="B22" s="32"/>
      <c r="C22" s="33" t="s">
        <v>285</v>
      </c>
      <c r="D22" s="28">
        <v>100</v>
      </c>
      <c r="E22" s="28">
        <f>'Buget 2024'!D22</f>
        <v>238</v>
      </c>
      <c r="F22" s="29">
        <f>E22-D22</f>
        <v>138</v>
      </c>
      <c r="G22" s="21">
        <f t="shared" si="2"/>
        <v>138</v>
      </c>
      <c r="H22" s="27"/>
      <c r="I22" s="27">
        <f>F22-H22</f>
        <v>138</v>
      </c>
    </row>
    <row r="23" spans="1:10" x14ac:dyDescent="0.2">
      <c r="A23" s="30" t="s">
        <v>4</v>
      </c>
      <c r="B23" s="22"/>
      <c r="C23" s="23" t="s">
        <v>169</v>
      </c>
      <c r="D23" s="24">
        <f t="shared" ref="D23" si="8">D24</f>
        <v>1508706</v>
      </c>
      <c r="E23" s="24">
        <f t="shared" ref="E23:F23" si="9">E24</f>
        <v>1526944</v>
      </c>
      <c r="F23" s="24">
        <f t="shared" si="9"/>
        <v>18238</v>
      </c>
      <c r="G23" s="21">
        <f t="shared" si="2"/>
        <v>1.2088504983741033</v>
      </c>
      <c r="H23" s="24">
        <f t="shared" ref="H23:I23" si="10">H24</f>
        <v>0</v>
      </c>
      <c r="I23" s="24">
        <f t="shared" si="10"/>
        <v>18238</v>
      </c>
    </row>
    <row r="24" spans="1:10" x14ac:dyDescent="0.2">
      <c r="A24" s="31" t="s">
        <v>5</v>
      </c>
      <c r="B24" s="32"/>
      <c r="C24" s="33" t="s">
        <v>170</v>
      </c>
      <c r="D24" s="34">
        <v>1508706</v>
      </c>
      <c r="E24" s="28">
        <f>'Buget 2024'!D24</f>
        <v>1526944</v>
      </c>
      <c r="F24" s="29">
        <f>E24-D24</f>
        <v>18238</v>
      </c>
      <c r="G24" s="21">
        <f t="shared" si="2"/>
        <v>1.2088504983741033</v>
      </c>
      <c r="H24" s="27"/>
      <c r="I24" s="27">
        <f>F24-H24</f>
        <v>18238</v>
      </c>
    </row>
    <row r="25" spans="1:10" x14ac:dyDescent="0.2">
      <c r="A25" s="30" t="s">
        <v>6</v>
      </c>
      <c r="B25" s="22"/>
      <c r="C25" s="23" t="s">
        <v>171</v>
      </c>
      <c r="D25" s="24">
        <f t="shared" ref="D25" si="11">D26</f>
        <v>625</v>
      </c>
      <c r="E25" s="24">
        <f t="shared" ref="E25:F25" si="12">E26</f>
        <v>743</v>
      </c>
      <c r="F25" s="24">
        <f t="shared" si="12"/>
        <v>118</v>
      </c>
      <c r="G25" s="21">
        <f t="shared" si="2"/>
        <v>18.88</v>
      </c>
      <c r="H25" s="24">
        <f t="shared" ref="H25:I25" si="13">H26</f>
        <v>0</v>
      </c>
      <c r="I25" s="24">
        <f t="shared" si="13"/>
        <v>118</v>
      </c>
    </row>
    <row r="26" spans="1:10" x14ac:dyDescent="0.2">
      <c r="A26" s="31" t="s">
        <v>7</v>
      </c>
      <c r="B26" s="32"/>
      <c r="C26" s="33" t="s">
        <v>172</v>
      </c>
      <c r="D26" s="35">
        <v>625</v>
      </c>
      <c r="E26" s="28">
        <f>'Buget 2024'!D26</f>
        <v>743</v>
      </c>
      <c r="F26" s="29">
        <f>E26-D26</f>
        <v>118</v>
      </c>
      <c r="G26" s="21">
        <f t="shared" si="2"/>
        <v>18.88</v>
      </c>
      <c r="H26" s="27"/>
      <c r="I26" s="27">
        <f>F26-H26</f>
        <v>118</v>
      </c>
    </row>
    <row r="27" spans="1:10" x14ac:dyDescent="0.2">
      <c r="A27" s="30" t="s">
        <v>8</v>
      </c>
      <c r="B27" s="22"/>
      <c r="C27" s="23" t="s">
        <v>9</v>
      </c>
      <c r="D27" s="36">
        <f>D28+D29</f>
        <v>11465</v>
      </c>
      <c r="E27" s="36">
        <f t="shared" ref="E27:F27" si="14">E28+E29</f>
        <v>11538</v>
      </c>
      <c r="F27" s="36">
        <f t="shared" si="14"/>
        <v>73</v>
      </c>
      <c r="G27" s="21">
        <f t="shared" si="2"/>
        <v>0.63672045355429563</v>
      </c>
      <c r="H27" s="36">
        <f>H28+H29</f>
        <v>0</v>
      </c>
      <c r="I27" s="36">
        <f>I28+I29</f>
        <v>73</v>
      </c>
    </row>
    <row r="28" spans="1:10" hidden="1" x14ac:dyDescent="0.2">
      <c r="A28" s="37" t="s">
        <v>259</v>
      </c>
      <c r="B28" s="25"/>
      <c r="C28" s="26" t="s">
        <v>255</v>
      </c>
      <c r="D28" s="38"/>
      <c r="E28" s="38"/>
      <c r="F28" s="38"/>
      <c r="G28" s="21" t="e">
        <f t="shared" si="2"/>
        <v>#DIV/0!</v>
      </c>
      <c r="H28" s="38"/>
      <c r="I28" s="38"/>
    </row>
    <row r="29" spans="1:10" x14ac:dyDescent="0.2">
      <c r="A29" s="30" t="s">
        <v>10</v>
      </c>
      <c r="B29" s="22"/>
      <c r="C29" s="23" t="s">
        <v>11</v>
      </c>
      <c r="D29" s="24">
        <f>D30+D31</f>
        <v>11465</v>
      </c>
      <c r="E29" s="24">
        <f t="shared" ref="E29:F29" si="15">E30+E31</f>
        <v>11538</v>
      </c>
      <c r="F29" s="24">
        <f t="shared" si="15"/>
        <v>73</v>
      </c>
      <c r="G29" s="21">
        <f t="shared" si="2"/>
        <v>0.63672045355429563</v>
      </c>
      <c r="H29" s="24">
        <f>H30+H31</f>
        <v>0</v>
      </c>
      <c r="I29" s="24">
        <f>I30+I31</f>
        <v>73</v>
      </c>
    </row>
    <row r="30" spans="1:10" ht="25.5" x14ac:dyDescent="0.2">
      <c r="A30" s="31"/>
      <c r="B30" s="32"/>
      <c r="C30" s="33" t="s">
        <v>173</v>
      </c>
      <c r="D30" s="34">
        <v>9452</v>
      </c>
      <c r="E30" s="28">
        <f>'Buget 2024'!D30</f>
        <v>9452</v>
      </c>
      <c r="F30" s="29">
        <f t="shared" ref="F30:F31" si="16">E30-D30</f>
        <v>0</v>
      </c>
      <c r="G30" s="21">
        <f t="shared" si="2"/>
        <v>0</v>
      </c>
      <c r="H30" s="27"/>
      <c r="I30" s="27">
        <f t="shared" ref="I30:I31" si="17">F30-H30</f>
        <v>0</v>
      </c>
    </row>
    <row r="31" spans="1:10" x14ac:dyDescent="0.2">
      <c r="A31" s="31"/>
      <c r="B31" s="32"/>
      <c r="C31" s="33" t="s">
        <v>174</v>
      </c>
      <c r="D31" s="35">
        <v>2013</v>
      </c>
      <c r="E31" s="28">
        <f>'Buget 2024'!D31</f>
        <v>2086</v>
      </c>
      <c r="F31" s="29">
        <f t="shared" si="16"/>
        <v>73</v>
      </c>
      <c r="G31" s="21">
        <f t="shared" si="2"/>
        <v>3.6264282165921506</v>
      </c>
      <c r="H31" s="27"/>
      <c r="I31" s="27">
        <f t="shared" si="17"/>
        <v>73</v>
      </c>
    </row>
    <row r="32" spans="1:10" hidden="1" x14ac:dyDescent="0.2">
      <c r="A32" s="30" t="s">
        <v>390</v>
      </c>
      <c r="B32" s="22"/>
      <c r="C32" s="23" t="s">
        <v>392</v>
      </c>
      <c r="D32" s="24">
        <f>D33</f>
        <v>0</v>
      </c>
      <c r="E32" s="24">
        <f t="shared" ref="E32:F32" si="18">E33</f>
        <v>0</v>
      </c>
      <c r="F32" s="24">
        <f t="shared" si="18"/>
        <v>0</v>
      </c>
      <c r="G32" s="21" t="e">
        <f t="shared" si="2"/>
        <v>#DIV/0!</v>
      </c>
      <c r="H32" s="24">
        <f>H33</f>
        <v>0</v>
      </c>
      <c r="I32" s="24">
        <f>I33</f>
        <v>0</v>
      </c>
    </row>
    <row r="33" spans="1:9" ht="25.5" hidden="1" x14ac:dyDescent="0.2">
      <c r="A33" s="31" t="s">
        <v>391</v>
      </c>
      <c r="B33" s="32"/>
      <c r="C33" s="33" t="s">
        <v>389</v>
      </c>
      <c r="D33" s="35"/>
      <c r="E33" s="28">
        <f>'Buget 2024'!D33</f>
        <v>0</v>
      </c>
      <c r="F33" s="29">
        <f t="shared" ref="F33" si="19">E33-D33</f>
        <v>0</v>
      </c>
      <c r="G33" s="21" t="e">
        <f t="shared" si="2"/>
        <v>#DIV/0!</v>
      </c>
      <c r="H33" s="35"/>
      <c r="I33" s="35"/>
    </row>
    <row r="34" spans="1:9" x14ac:dyDescent="0.2">
      <c r="A34" s="22"/>
      <c r="B34" s="22"/>
      <c r="C34" s="39" t="s">
        <v>175</v>
      </c>
      <c r="D34" s="24">
        <f>D35+D52+D65+D62</f>
        <v>1474444</v>
      </c>
      <c r="E34" s="24">
        <f>E35+E52+E65+E62</f>
        <v>1738728</v>
      </c>
      <c r="F34" s="24">
        <f>F35+F52+F65+F62</f>
        <v>264284</v>
      </c>
      <c r="G34" s="21">
        <f t="shared" si="2"/>
        <v>17.924315877713902</v>
      </c>
      <c r="H34" s="24">
        <f>H35+H52+H65+H62</f>
        <v>0</v>
      </c>
      <c r="I34" s="24">
        <f>I35+I52+I65+I62</f>
        <v>264284</v>
      </c>
    </row>
    <row r="35" spans="1:9" x14ac:dyDescent="0.2">
      <c r="A35" s="30" t="s">
        <v>12</v>
      </c>
      <c r="B35" s="22"/>
      <c r="C35" s="23" t="s">
        <v>176</v>
      </c>
      <c r="D35" s="24">
        <f>D36+D44+D46+D45+D50</f>
        <v>1463474</v>
      </c>
      <c r="E35" s="24">
        <f t="shared" ref="E35:F35" si="20">E36+E44+E46+E45+E50</f>
        <v>1726811</v>
      </c>
      <c r="F35" s="24">
        <f t="shared" si="20"/>
        <v>263337</v>
      </c>
      <c r="G35" s="21">
        <f t="shared" si="2"/>
        <v>17.993965044818015</v>
      </c>
      <c r="H35" s="24">
        <f>H36+H44+H46+H45+H50</f>
        <v>0</v>
      </c>
      <c r="I35" s="24">
        <f>I36+I44+I46+I45+I50</f>
        <v>263337</v>
      </c>
    </row>
    <row r="36" spans="1:9" ht="25.5" x14ac:dyDescent="0.2">
      <c r="A36" s="30" t="s">
        <v>13</v>
      </c>
      <c r="B36" s="22"/>
      <c r="C36" s="23" t="s">
        <v>177</v>
      </c>
      <c r="D36" s="24">
        <f>D37+D39+D43+D38</f>
        <v>177420</v>
      </c>
      <c r="E36" s="24">
        <f t="shared" ref="E36:F36" si="21">E37+E39+E43+E38</f>
        <v>325263</v>
      </c>
      <c r="F36" s="24">
        <f t="shared" si="21"/>
        <v>147843</v>
      </c>
      <c r="G36" s="21">
        <f t="shared" si="2"/>
        <v>83.329387893134935</v>
      </c>
      <c r="H36" s="24">
        <f>H37+H39+H43+H38</f>
        <v>0</v>
      </c>
      <c r="I36" s="24">
        <f>I37+I39+I43+I38</f>
        <v>147843</v>
      </c>
    </row>
    <row r="37" spans="1:9" ht="25.5" x14ac:dyDescent="0.2">
      <c r="A37" s="32"/>
      <c r="B37" s="32"/>
      <c r="C37" s="33" t="s">
        <v>178</v>
      </c>
      <c r="D37" s="34">
        <v>1800</v>
      </c>
      <c r="E37" s="28">
        <f>'Buget 2024'!D37</f>
        <v>139643</v>
      </c>
      <c r="F37" s="29">
        <f t="shared" ref="F37:F38" si="22">E37-D37</f>
        <v>137843</v>
      </c>
      <c r="G37" s="21">
        <f t="shared" si="2"/>
        <v>7657.9444444444453</v>
      </c>
      <c r="H37" s="27"/>
      <c r="I37" s="27">
        <f t="shared" ref="I37:I38" si="23">F37-H37</f>
        <v>137843</v>
      </c>
    </row>
    <row r="38" spans="1:9" x14ac:dyDescent="0.2">
      <c r="A38" s="32"/>
      <c r="B38" s="32"/>
      <c r="C38" s="33" t="s">
        <v>179</v>
      </c>
      <c r="D38" s="35">
        <f>25000+10000+5000+35000</f>
        <v>75000</v>
      </c>
      <c r="E38" s="28">
        <f>'Buget 2024'!D38</f>
        <v>85000</v>
      </c>
      <c r="F38" s="29">
        <f t="shared" si="22"/>
        <v>10000</v>
      </c>
      <c r="G38" s="21">
        <f t="shared" si="2"/>
        <v>13.333333333333334</v>
      </c>
      <c r="H38" s="27"/>
      <c r="I38" s="27">
        <f t="shared" si="23"/>
        <v>10000</v>
      </c>
    </row>
    <row r="39" spans="1:9" x14ac:dyDescent="0.2">
      <c r="A39" s="22"/>
      <c r="B39" s="22"/>
      <c r="C39" s="23" t="s">
        <v>180</v>
      </c>
      <c r="D39" s="24">
        <f>D40+D41+D42</f>
        <v>99270</v>
      </c>
      <c r="E39" s="24">
        <f>E40+E41+E42</f>
        <v>99270</v>
      </c>
      <c r="F39" s="24">
        <f t="shared" ref="F39" si="24">F40+F41+F42</f>
        <v>0</v>
      </c>
      <c r="G39" s="21">
        <f t="shared" si="2"/>
        <v>0</v>
      </c>
      <c r="H39" s="24">
        <f>H40+H41+H42</f>
        <v>0</v>
      </c>
      <c r="I39" s="24">
        <f>I40+I41+I42</f>
        <v>0</v>
      </c>
    </row>
    <row r="40" spans="1:9" x14ac:dyDescent="0.2">
      <c r="A40" s="32"/>
      <c r="B40" s="32"/>
      <c r="C40" s="33" t="s">
        <v>134</v>
      </c>
      <c r="D40" s="34">
        <f>98170-1580</f>
        <v>96590</v>
      </c>
      <c r="E40" s="28">
        <f>'Buget 2024'!D40</f>
        <v>96590</v>
      </c>
      <c r="F40" s="29">
        <f t="shared" ref="F40:F44" si="25">E40-D40</f>
        <v>0</v>
      </c>
      <c r="G40" s="21">
        <f t="shared" si="2"/>
        <v>0</v>
      </c>
      <c r="H40" s="27"/>
      <c r="I40" s="27">
        <f t="shared" ref="I40:I45" si="26">F40-H40</f>
        <v>0</v>
      </c>
    </row>
    <row r="41" spans="1:9" hidden="1" x14ac:dyDescent="0.2">
      <c r="A41" s="32"/>
      <c r="B41" s="32"/>
      <c r="C41" s="33" t="s">
        <v>14</v>
      </c>
      <c r="D41" s="34">
        <f>657-657</f>
        <v>0</v>
      </c>
      <c r="E41" s="28">
        <f>'Buget 2024'!D41</f>
        <v>0</v>
      </c>
      <c r="F41" s="29">
        <f t="shared" si="25"/>
        <v>0</v>
      </c>
      <c r="G41" s="21" t="e">
        <f t="shared" si="2"/>
        <v>#DIV/0!</v>
      </c>
      <c r="H41" s="27"/>
      <c r="I41" s="27">
        <f t="shared" si="26"/>
        <v>0</v>
      </c>
    </row>
    <row r="42" spans="1:9" x14ac:dyDescent="0.2">
      <c r="A42" s="32"/>
      <c r="B42" s="32"/>
      <c r="C42" s="33" t="s">
        <v>322</v>
      </c>
      <c r="D42" s="34">
        <f>1100+1580</f>
        <v>2680</v>
      </c>
      <c r="E42" s="28">
        <f>'Buget 2024'!D42</f>
        <v>2680</v>
      </c>
      <c r="F42" s="29">
        <f t="shared" si="25"/>
        <v>0</v>
      </c>
      <c r="G42" s="21">
        <f t="shared" si="2"/>
        <v>0</v>
      </c>
      <c r="H42" s="27"/>
      <c r="I42" s="27">
        <f t="shared" si="26"/>
        <v>0</v>
      </c>
    </row>
    <row r="43" spans="1:9" x14ac:dyDescent="0.2">
      <c r="A43" s="40"/>
      <c r="B43" s="40"/>
      <c r="C43" s="41" t="s">
        <v>181</v>
      </c>
      <c r="D43" s="24">
        <v>1350</v>
      </c>
      <c r="E43" s="24">
        <f>'Buget 2024'!D43</f>
        <v>1350</v>
      </c>
      <c r="F43" s="24">
        <f t="shared" si="25"/>
        <v>0</v>
      </c>
      <c r="G43" s="21">
        <f t="shared" si="2"/>
        <v>0</v>
      </c>
      <c r="H43" s="27"/>
      <c r="I43" s="27">
        <f t="shared" si="26"/>
        <v>0</v>
      </c>
    </row>
    <row r="44" spans="1:9" ht="38.25" hidden="1" x14ac:dyDescent="0.2">
      <c r="A44" s="42" t="s">
        <v>331</v>
      </c>
      <c r="B44" s="40"/>
      <c r="C44" s="41" t="s">
        <v>182</v>
      </c>
      <c r="D44" s="24"/>
      <c r="E44" s="24">
        <f>'Buget 2024'!D44</f>
        <v>0</v>
      </c>
      <c r="F44" s="24">
        <f t="shared" si="25"/>
        <v>0</v>
      </c>
      <c r="G44" s="21" t="e">
        <f t="shared" si="2"/>
        <v>#DIV/0!</v>
      </c>
      <c r="H44" s="27"/>
      <c r="I44" s="27">
        <f t="shared" si="26"/>
        <v>0</v>
      </c>
    </row>
    <row r="45" spans="1:9" ht="51" x14ac:dyDescent="0.2">
      <c r="A45" s="42" t="s">
        <v>358</v>
      </c>
      <c r="B45" s="40"/>
      <c r="C45" s="41" t="s">
        <v>359</v>
      </c>
      <c r="D45" s="24">
        <f>273900-16524-3600-11925</f>
        <v>241851</v>
      </c>
      <c r="E45" s="24">
        <f>'Buget 2024'!D45</f>
        <v>203107</v>
      </c>
      <c r="F45" s="24">
        <f t="shared" ref="F45" si="27">E45-D45</f>
        <v>-38744</v>
      </c>
      <c r="G45" s="21">
        <f t="shared" si="2"/>
        <v>-16.019780774112988</v>
      </c>
      <c r="H45" s="27"/>
      <c r="I45" s="27">
        <f t="shared" si="26"/>
        <v>-38744</v>
      </c>
    </row>
    <row r="46" spans="1:9" x14ac:dyDescent="0.2">
      <c r="A46" s="42" t="s">
        <v>306</v>
      </c>
      <c r="B46" s="40"/>
      <c r="C46" s="41" t="s">
        <v>307</v>
      </c>
      <c r="D46" s="24">
        <f>SUM(D47:D49)</f>
        <v>473858</v>
      </c>
      <c r="E46" s="24">
        <f t="shared" ref="E46:F46" si="28">SUM(E47:E49)</f>
        <v>473858</v>
      </c>
      <c r="F46" s="24">
        <f t="shared" si="28"/>
        <v>0</v>
      </c>
      <c r="G46" s="21">
        <f t="shared" si="2"/>
        <v>0</v>
      </c>
      <c r="H46" s="24">
        <f>SUM(H47:H49)</f>
        <v>0</v>
      </c>
      <c r="I46" s="24">
        <f>SUM(I47:I49)</f>
        <v>0</v>
      </c>
    </row>
    <row r="47" spans="1:9" x14ac:dyDescent="0.2">
      <c r="A47" s="43" t="s">
        <v>308</v>
      </c>
      <c r="B47" s="44"/>
      <c r="C47" s="45" t="s">
        <v>311</v>
      </c>
      <c r="D47" s="28">
        <v>399368</v>
      </c>
      <c r="E47" s="28">
        <f>'Buget 2024'!D47</f>
        <v>399368</v>
      </c>
      <c r="F47" s="29">
        <f t="shared" ref="F47:F49" si="29">E47-D47</f>
        <v>0</v>
      </c>
      <c r="G47" s="21">
        <f t="shared" si="2"/>
        <v>0</v>
      </c>
      <c r="H47" s="27"/>
      <c r="I47" s="27">
        <f t="shared" ref="I47:I49" si="30">F47-H47</f>
        <v>0</v>
      </c>
    </row>
    <row r="48" spans="1:9" hidden="1" x14ac:dyDescent="0.2">
      <c r="A48" s="43" t="s">
        <v>309</v>
      </c>
      <c r="B48" s="44"/>
      <c r="C48" s="45" t="s">
        <v>312</v>
      </c>
      <c r="D48" s="28"/>
      <c r="E48" s="28">
        <f>'Buget 2024'!D48</f>
        <v>0</v>
      </c>
      <c r="F48" s="29">
        <f t="shared" si="29"/>
        <v>0</v>
      </c>
      <c r="G48" s="21" t="e">
        <f t="shared" si="2"/>
        <v>#DIV/0!</v>
      </c>
      <c r="H48" s="27"/>
      <c r="I48" s="27">
        <f t="shared" si="30"/>
        <v>0</v>
      </c>
    </row>
    <row r="49" spans="1:9" x14ac:dyDescent="0.2">
      <c r="A49" s="43" t="s">
        <v>310</v>
      </c>
      <c r="B49" s="44"/>
      <c r="C49" s="45" t="s">
        <v>313</v>
      </c>
      <c r="D49" s="28">
        <f>74406+84</f>
        <v>74490</v>
      </c>
      <c r="E49" s="28">
        <f>'Buget 2024'!D49</f>
        <v>74490</v>
      </c>
      <c r="F49" s="29">
        <f t="shared" si="29"/>
        <v>0</v>
      </c>
      <c r="G49" s="21">
        <f t="shared" si="2"/>
        <v>0</v>
      </c>
      <c r="H49" s="27"/>
      <c r="I49" s="27">
        <f t="shared" si="30"/>
        <v>0</v>
      </c>
    </row>
    <row r="50" spans="1:9" ht="38.25" x14ac:dyDescent="0.2">
      <c r="A50" s="42" t="s">
        <v>385</v>
      </c>
      <c r="B50" s="40"/>
      <c r="C50" s="41" t="s">
        <v>384</v>
      </c>
      <c r="D50" s="24">
        <f>D51</f>
        <v>570345</v>
      </c>
      <c r="E50" s="24">
        <f t="shared" ref="E50:F50" si="31">E51</f>
        <v>724583</v>
      </c>
      <c r="F50" s="24">
        <f t="shared" si="31"/>
        <v>154238</v>
      </c>
      <c r="G50" s="21">
        <f t="shared" si="2"/>
        <v>27.042930156308902</v>
      </c>
      <c r="H50" s="24">
        <f>H51</f>
        <v>0</v>
      </c>
      <c r="I50" s="24">
        <f>I51</f>
        <v>154238</v>
      </c>
    </row>
    <row r="51" spans="1:9" ht="38.25" x14ac:dyDescent="0.2">
      <c r="A51" s="43" t="s">
        <v>386</v>
      </c>
      <c r="B51" s="44"/>
      <c r="C51" s="45" t="s">
        <v>383</v>
      </c>
      <c r="D51" s="28">
        <f>50000+52019+468326</f>
        <v>570345</v>
      </c>
      <c r="E51" s="28">
        <f>'Buget 2024'!D51</f>
        <v>724583</v>
      </c>
      <c r="F51" s="29">
        <f t="shared" ref="F51" si="32">E51-D51</f>
        <v>154238</v>
      </c>
      <c r="G51" s="21">
        <f t="shared" si="2"/>
        <v>27.042930156308902</v>
      </c>
      <c r="H51" s="27"/>
      <c r="I51" s="27">
        <f>F51-H51</f>
        <v>154238</v>
      </c>
    </row>
    <row r="52" spans="1:9" ht="25.5" x14ac:dyDescent="0.2">
      <c r="A52" s="30" t="s">
        <v>15</v>
      </c>
      <c r="B52" s="22"/>
      <c r="C52" s="39" t="s">
        <v>183</v>
      </c>
      <c r="D52" s="24">
        <f>D53+D55+D58</f>
        <v>1255</v>
      </c>
      <c r="E52" s="24">
        <f t="shared" ref="E52:F52" si="33">E53+E55+E58</f>
        <v>2133</v>
      </c>
      <c r="F52" s="24">
        <f t="shared" si="33"/>
        <v>878</v>
      </c>
      <c r="G52" s="21">
        <f t="shared" si="2"/>
        <v>69.960159362549803</v>
      </c>
      <c r="H52" s="24">
        <f>H53+H55+H58</f>
        <v>0</v>
      </c>
      <c r="I52" s="24">
        <f>I53+I55+I58</f>
        <v>878</v>
      </c>
    </row>
    <row r="53" spans="1:9" hidden="1" x14ac:dyDescent="0.2">
      <c r="A53" s="30" t="s">
        <v>16</v>
      </c>
      <c r="B53" s="22"/>
      <c r="C53" s="39" t="s">
        <v>184</v>
      </c>
      <c r="D53" s="24">
        <f>SUM(D54:D54)</f>
        <v>0</v>
      </c>
      <c r="E53" s="24">
        <f t="shared" ref="E53:F53" si="34">SUM(E54:E54)</f>
        <v>0</v>
      </c>
      <c r="F53" s="24">
        <f t="shared" si="34"/>
        <v>0</v>
      </c>
      <c r="G53" s="21" t="e">
        <f t="shared" si="2"/>
        <v>#DIV/0!</v>
      </c>
      <c r="H53" s="24">
        <f>SUM(H54:H54)</f>
        <v>0</v>
      </c>
      <c r="I53" s="24">
        <f>SUM(I54:I54)</f>
        <v>0</v>
      </c>
    </row>
    <row r="54" spans="1:9" hidden="1" x14ac:dyDescent="0.2">
      <c r="A54" s="31" t="s">
        <v>17</v>
      </c>
      <c r="B54" s="32"/>
      <c r="C54" s="33" t="s">
        <v>18</v>
      </c>
      <c r="D54" s="35">
        <v>0</v>
      </c>
      <c r="E54" s="28">
        <f>'Buget 2024'!D54</f>
        <v>0</v>
      </c>
      <c r="F54" s="29">
        <f>E54-D54</f>
        <v>0</v>
      </c>
      <c r="G54" s="21" t="e">
        <f t="shared" si="2"/>
        <v>#DIV/0!</v>
      </c>
      <c r="H54" s="35">
        <v>0</v>
      </c>
      <c r="I54" s="35">
        <v>0</v>
      </c>
    </row>
    <row r="55" spans="1:9" hidden="1" x14ac:dyDescent="0.2">
      <c r="A55" s="30" t="s">
        <v>19</v>
      </c>
      <c r="B55" s="22"/>
      <c r="C55" s="39" t="s">
        <v>186</v>
      </c>
      <c r="D55" s="24">
        <f>SUM(D56:D57)</f>
        <v>1255</v>
      </c>
      <c r="E55" s="24">
        <f t="shared" ref="E55:F55" si="35">SUM(E56:E57)</f>
        <v>0</v>
      </c>
      <c r="F55" s="24">
        <f t="shared" si="35"/>
        <v>-1255</v>
      </c>
      <c r="G55" s="21">
        <f t="shared" si="2"/>
        <v>-100</v>
      </c>
      <c r="H55" s="24">
        <f>SUM(H56:H57)</f>
        <v>0</v>
      </c>
      <c r="I55" s="24">
        <f>SUM(I56:I57)</f>
        <v>-1255</v>
      </c>
    </row>
    <row r="56" spans="1:9" hidden="1" x14ac:dyDescent="0.2">
      <c r="A56" s="31" t="s">
        <v>303</v>
      </c>
      <c r="B56" s="32"/>
      <c r="C56" s="33" t="s">
        <v>18</v>
      </c>
      <c r="D56" s="35"/>
      <c r="E56" s="28">
        <f>'Buget 2024'!D56</f>
        <v>0</v>
      </c>
      <c r="F56" s="29">
        <f>E56-D56</f>
        <v>0</v>
      </c>
      <c r="G56" s="21" t="e">
        <f t="shared" si="2"/>
        <v>#DIV/0!</v>
      </c>
      <c r="H56" s="27"/>
      <c r="I56" s="27">
        <f t="shared" ref="I56:I57" si="36">F56-H56</f>
        <v>0</v>
      </c>
    </row>
    <row r="57" spans="1:9" x14ac:dyDescent="0.2">
      <c r="A57" s="31" t="s">
        <v>360</v>
      </c>
      <c r="B57" s="32"/>
      <c r="C57" s="33" t="s">
        <v>185</v>
      </c>
      <c r="D57" s="35">
        <v>1255</v>
      </c>
      <c r="E57" s="28">
        <f>'Buget 2024'!D57</f>
        <v>0</v>
      </c>
      <c r="F57" s="29">
        <f>E57-D57</f>
        <v>-1255</v>
      </c>
      <c r="G57" s="21">
        <f t="shared" si="2"/>
        <v>-100</v>
      </c>
      <c r="H57" s="27"/>
      <c r="I57" s="27">
        <f t="shared" si="36"/>
        <v>-1255</v>
      </c>
    </row>
    <row r="58" spans="1:9" x14ac:dyDescent="0.2">
      <c r="A58" s="30" t="s">
        <v>402</v>
      </c>
      <c r="B58" s="22"/>
      <c r="C58" s="39" t="s">
        <v>363</v>
      </c>
      <c r="D58" s="24">
        <f>SUM(D59:D61)</f>
        <v>0</v>
      </c>
      <c r="E58" s="24">
        <f t="shared" ref="E58:F58" si="37">SUM(E59:E61)</f>
        <v>2133</v>
      </c>
      <c r="F58" s="24">
        <f t="shared" si="37"/>
        <v>2133</v>
      </c>
      <c r="G58" s="21" t="e">
        <f t="shared" si="2"/>
        <v>#DIV/0!</v>
      </c>
      <c r="H58" s="24">
        <f>SUM(H59:H61)</f>
        <v>0</v>
      </c>
      <c r="I58" s="24">
        <f>SUM(I59:I61)</f>
        <v>2133</v>
      </c>
    </row>
    <row r="59" spans="1:9" hidden="1" x14ac:dyDescent="0.2">
      <c r="A59" s="31" t="s">
        <v>405</v>
      </c>
      <c r="B59" s="32"/>
      <c r="C59" s="33" t="s">
        <v>403</v>
      </c>
      <c r="D59" s="35"/>
      <c r="E59" s="28">
        <f>'Buget 2024'!D59</f>
        <v>0</v>
      </c>
      <c r="F59" s="29">
        <f t="shared" ref="F59:F61" si="38">E59-D59</f>
        <v>0</v>
      </c>
      <c r="G59" s="21" t="e">
        <f t="shared" si="2"/>
        <v>#DIV/0!</v>
      </c>
      <c r="H59" s="27"/>
      <c r="I59" s="27">
        <f t="shared" ref="I59:I61" si="39">F59-H59</f>
        <v>0</v>
      </c>
    </row>
    <row r="60" spans="1:9" hidden="1" x14ac:dyDescent="0.2">
      <c r="A60" s="31" t="s">
        <v>406</v>
      </c>
      <c r="B60" s="32"/>
      <c r="C60" s="33" t="s">
        <v>404</v>
      </c>
      <c r="D60" s="35"/>
      <c r="E60" s="28">
        <f>'Buget 2024'!D60</f>
        <v>0</v>
      </c>
      <c r="F60" s="29">
        <f t="shared" si="38"/>
        <v>0</v>
      </c>
      <c r="G60" s="21" t="e">
        <f t="shared" si="2"/>
        <v>#DIV/0!</v>
      </c>
      <c r="H60" s="27"/>
      <c r="I60" s="27">
        <f t="shared" si="39"/>
        <v>0</v>
      </c>
    </row>
    <row r="61" spans="1:9" x14ac:dyDescent="0.2">
      <c r="A61" s="31" t="s">
        <v>407</v>
      </c>
      <c r="B61" s="32"/>
      <c r="C61" s="33" t="s">
        <v>185</v>
      </c>
      <c r="D61" s="35"/>
      <c r="E61" s="28">
        <f>'Buget 2024'!D61</f>
        <v>2133</v>
      </c>
      <c r="F61" s="29">
        <f t="shared" si="38"/>
        <v>2133</v>
      </c>
      <c r="G61" s="21" t="e">
        <f t="shared" si="2"/>
        <v>#DIV/0!</v>
      </c>
      <c r="H61" s="27"/>
      <c r="I61" s="27">
        <f t="shared" si="39"/>
        <v>2133</v>
      </c>
    </row>
    <row r="62" spans="1:9" ht="25.5" hidden="1" x14ac:dyDescent="0.2">
      <c r="A62" s="30" t="s">
        <v>370</v>
      </c>
      <c r="B62" s="22"/>
      <c r="C62" s="39" t="s">
        <v>187</v>
      </c>
      <c r="D62" s="77">
        <f>D63</f>
        <v>0</v>
      </c>
      <c r="E62" s="24">
        <f t="shared" ref="E62:F63" si="40">E63</f>
        <v>0</v>
      </c>
      <c r="F62" s="24">
        <f t="shared" si="40"/>
        <v>0</v>
      </c>
      <c r="G62" s="21" t="e">
        <f t="shared" si="2"/>
        <v>#DIV/0!</v>
      </c>
      <c r="H62" s="77">
        <f>H63</f>
        <v>0</v>
      </c>
      <c r="I62" s="77">
        <f>I63</f>
        <v>0</v>
      </c>
    </row>
    <row r="63" spans="1:9" hidden="1" x14ac:dyDescent="0.2">
      <c r="A63" s="30" t="s">
        <v>329</v>
      </c>
      <c r="B63" s="22"/>
      <c r="C63" s="23" t="s">
        <v>325</v>
      </c>
      <c r="D63" s="77">
        <f>D64</f>
        <v>0</v>
      </c>
      <c r="E63" s="24">
        <f t="shared" si="40"/>
        <v>0</v>
      </c>
      <c r="F63" s="24">
        <f t="shared" si="40"/>
        <v>0</v>
      </c>
      <c r="G63" s="21" t="e">
        <f t="shared" si="2"/>
        <v>#DIV/0!</v>
      </c>
      <c r="H63" s="77">
        <f>H64</f>
        <v>0</v>
      </c>
      <c r="I63" s="77">
        <f>I64</f>
        <v>0</v>
      </c>
    </row>
    <row r="64" spans="1:9" hidden="1" x14ac:dyDescent="0.2">
      <c r="A64" s="31" t="s">
        <v>330</v>
      </c>
      <c r="B64" s="32"/>
      <c r="C64" s="33" t="s">
        <v>185</v>
      </c>
      <c r="D64" s="35">
        <f>135+2-137</f>
        <v>0</v>
      </c>
      <c r="E64" s="28">
        <f>'Buget 2024'!D64</f>
        <v>0</v>
      </c>
      <c r="F64" s="29">
        <f>E64-D64</f>
        <v>0</v>
      </c>
      <c r="G64" s="21" t="e">
        <f t="shared" si="2"/>
        <v>#DIV/0!</v>
      </c>
      <c r="H64" s="27"/>
      <c r="I64" s="27">
        <f>F64-H64</f>
        <v>0</v>
      </c>
    </row>
    <row r="65" spans="1:9" ht="25.5" x14ac:dyDescent="0.2">
      <c r="A65" s="30" t="s">
        <v>21</v>
      </c>
      <c r="B65" s="22"/>
      <c r="C65" s="39" t="s">
        <v>187</v>
      </c>
      <c r="D65" s="24">
        <f>D74+D66+D82+D70+D78+D80</f>
        <v>9715</v>
      </c>
      <c r="E65" s="24">
        <f t="shared" ref="E65:F65" si="41">E74+E66+E82+E70+E78+E80</f>
        <v>9784</v>
      </c>
      <c r="F65" s="24">
        <f t="shared" si="41"/>
        <v>69</v>
      </c>
      <c r="G65" s="21">
        <f t="shared" si="2"/>
        <v>0.71024189397838389</v>
      </c>
      <c r="H65" s="24">
        <f>H74+H66+H82+H70+H78+H80</f>
        <v>0</v>
      </c>
      <c r="I65" s="24">
        <f>I74+I66+I82+I70+I78+I80</f>
        <v>69</v>
      </c>
    </row>
    <row r="66" spans="1:9" hidden="1" x14ac:dyDescent="0.2">
      <c r="A66" s="30" t="s">
        <v>22</v>
      </c>
      <c r="B66" s="22"/>
      <c r="C66" s="23" t="s">
        <v>188</v>
      </c>
      <c r="D66" s="24">
        <f>SUM(D67:D69)</f>
        <v>0</v>
      </c>
      <c r="E66" s="24">
        <f t="shared" ref="E66:F66" si="42">SUM(E67:E69)</f>
        <v>0</v>
      </c>
      <c r="F66" s="24">
        <f t="shared" si="42"/>
        <v>0</v>
      </c>
      <c r="G66" s="21" t="e">
        <f t="shared" si="2"/>
        <v>#DIV/0!</v>
      </c>
      <c r="H66" s="24">
        <f>SUM(H67:H69)</f>
        <v>0</v>
      </c>
      <c r="I66" s="24">
        <f>SUM(I67:I69)</f>
        <v>0</v>
      </c>
    </row>
    <row r="67" spans="1:9" hidden="1" x14ac:dyDescent="0.2">
      <c r="A67" s="31" t="s">
        <v>23</v>
      </c>
      <c r="B67" s="32"/>
      <c r="C67" s="33" t="s">
        <v>20</v>
      </c>
      <c r="D67" s="35"/>
      <c r="E67" s="28">
        <f>'Buget 2024'!D67</f>
        <v>0</v>
      </c>
      <c r="F67" s="29">
        <f>E67-D67</f>
        <v>0</v>
      </c>
      <c r="G67" s="21" t="e">
        <f t="shared" si="2"/>
        <v>#DIV/0!</v>
      </c>
      <c r="H67" s="35"/>
      <c r="I67" s="35"/>
    </row>
    <row r="68" spans="1:9" hidden="1" x14ac:dyDescent="0.2">
      <c r="A68" s="31" t="s">
        <v>257</v>
      </c>
      <c r="B68" s="32"/>
      <c r="C68" s="33" t="s">
        <v>256</v>
      </c>
      <c r="D68" s="35"/>
      <c r="E68" s="28">
        <f>'Buget 2024'!D68</f>
        <v>0</v>
      </c>
      <c r="F68" s="29">
        <f>E68-D68</f>
        <v>0</v>
      </c>
      <c r="G68" s="21" t="e">
        <f t="shared" si="2"/>
        <v>#DIV/0!</v>
      </c>
      <c r="H68" s="35"/>
      <c r="I68" s="35"/>
    </row>
    <row r="69" spans="1:9" hidden="1" x14ac:dyDescent="0.2">
      <c r="A69" s="31" t="s">
        <v>258</v>
      </c>
      <c r="B69" s="32"/>
      <c r="C69" s="33" t="s">
        <v>185</v>
      </c>
      <c r="D69" s="35"/>
      <c r="E69" s="28">
        <f t="shared" ref="E69:E77" si="43">D69+F69</f>
        <v>0</v>
      </c>
      <c r="F69" s="29"/>
      <c r="G69" s="21" t="e">
        <f t="shared" si="2"/>
        <v>#DIV/0!</v>
      </c>
      <c r="H69" s="35"/>
      <c r="I69" s="35"/>
    </row>
    <row r="70" spans="1:9" x14ac:dyDescent="0.2">
      <c r="A70" s="30" t="s">
        <v>277</v>
      </c>
      <c r="B70" s="22"/>
      <c r="C70" s="23" t="s">
        <v>279</v>
      </c>
      <c r="D70" s="24">
        <f>SUM(D71:D73)</f>
        <v>3770</v>
      </c>
      <c r="E70" s="24">
        <f t="shared" ref="E70:F70" si="44">SUM(E71:E73)</f>
        <v>3770</v>
      </c>
      <c r="F70" s="24">
        <f t="shared" si="44"/>
        <v>0</v>
      </c>
      <c r="G70" s="21">
        <f t="shared" si="2"/>
        <v>0</v>
      </c>
      <c r="H70" s="24">
        <f>SUM(H71:H73)</f>
        <v>0</v>
      </c>
      <c r="I70" s="24">
        <f>SUM(I71:I73)</f>
        <v>0</v>
      </c>
    </row>
    <row r="71" spans="1:9" hidden="1" x14ac:dyDescent="0.2">
      <c r="A71" s="31" t="s">
        <v>278</v>
      </c>
      <c r="B71" s="32"/>
      <c r="C71" s="33" t="s">
        <v>20</v>
      </c>
      <c r="D71" s="35"/>
      <c r="E71" s="28">
        <f>'Buget 2024'!D71</f>
        <v>0</v>
      </c>
      <c r="F71" s="29">
        <f t="shared" ref="F71:F72" si="45">E71-D71</f>
        <v>0</v>
      </c>
      <c r="G71" s="21" t="e">
        <f t="shared" si="2"/>
        <v>#DIV/0!</v>
      </c>
      <c r="H71" s="35"/>
      <c r="I71" s="35"/>
    </row>
    <row r="72" spans="1:9" x14ac:dyDescent="0.2">
      <c r="A72" s="31" t="s">
        <v>288</v>
      </c>
      <c r="B72" s="32"/>
      <c r="C72" s="33" t="s">
        <v>256</v>
      </c>
      <c r="D72" s="35">
        <v>3770</v>
      </c>
      <c r="E72" s="28">
        <f>'Buget 2024'!D72</f>
        <v>3770</v>
      </c>
      <c r="F72" s="29">
        <f t="shared" si="45"/>
        <v>0</v>
      </c>
      <c r="G72" s="21">
        <f t="shared" si="2"/>
        <v>0</v>
      </c>
      <c r="H72" s="27"/>
      <c r="I72" s="27">
        <f>F72-H72</f>
        <v>0</v>
      </c>
    </row>
    <row r="73" spans="1:9" hidden="1" x14ac:dyDescent="0.2">
      <c r="A73" s="31" t="s">
        <v>289</v>
      </c>
      <c r="B73" s="32"/>
      <c r="C73" s="33" t="s">
        <v>185</v>
      </c>
      <c r="D73" s="35">
        <v>0</v>
      </c>
      <c r="E73" s="28">
        <f t="shared" si="43"/>
        <v>0</v>
      </c>
      <c r="F73" s="29"/>
      <c r="G73" s="21" t="e">
        <f t="shared" si="2"/>
        <v>#DIV/0!</v>
      </c>
      <c r="H73" s="35">
        <v>0</v>
      </c>
      <c r="I73" s="35">
        <v>0</v>
      </c>
    </row>
    <row r="74" spans="1:9" x14ac:dyDescent="0.2">
      <c r="A74" s="30" t="s">
        <v>24</v>
      </c>
      <c r="B74" s="22"/>
      <c r="C74" s="23" t="s">
        <v>25</v>
      </c>
      <c r="D74" s="24">
        <f>SUM(D75:D77)</f>
        <v>0</v>
      </c>
      <c r="E74" s="24">
        <f t="shared" ref="E74:F74" si="46">SUM(E75:E77)</f>
        <v>69</v>
      </c>
      <c r="F74" s="24">
        <f t="shared" si="46"/>
        <v>69</v>
      </c>
      <c r="G74" s="21" t="e">
        <f t="shared" si="2"/>
        <v>#DIV/0!</v>
      </c>
      <c r="H74" s="24">
        <f>SUM(H75:H77)</f>
        <v>0</v>
      </c>
      <c r="I74" s="24">
        <f>SUM(I75:I77)</f>
        <v>69</v>
      </c>
    </row>
    <row r="75" spans="1:9" hidden="1" x14ac:dyDescent="0.2">
      <c r="A75" s="31" t="s">
        <v>280</v>
      </c>
      <c r="B75" s="32"/>
      <c r="C75" s="33" t="s">
        <v>20</v>
      </c>
      <c r="D75" s="35"/>
      <c r="E75" s="28">
        <f t="shared" si="43"/>
        <v>0</v>
      </c>
      <c r="F75" s="29"/>
      <c r="G75" s="21" t="e">
        <f t="shared" si="2"/>
        <v>#DIV/0!</v>
      </c>
      <c r="H75" s="35"/>
      <c r="I75" s="27">
        <f t="shared" ref="I75:I77" si="47">F75-H75</f>
        <v>0</v>
      </c>
    </row>
    <row r="76" spans="1:9" x14ac:dyDescent="0.2">
      <c r="A76" s="31" t="s">
        <v>281</v>
      </c>
      <c r="B76" s="32"/>
      <c r="C76" s="33" t="s">
        <v>256</v>
      </c>
      <c r="D76" s="35"/>
      <c r="E76" s="28">
        <f>'Buget 2024'!D76</f>
        <v>69</v>
      </c>
      <c r="F76" s="29">
        <f>E76-D76</f>
        <v>69</v>
      </c>
      <c r="G76" s="21" t="e">
        <f t="shared" si="2"/>
        <v>#DIV/0!</v>
      </c>
      <c r="H76" s="35"/>
      <c r="I76" s="27">
        <f t="shared" si="47"/>
        <v>69</v>
      </c>
    </row>
    <row r="77" spans="1:9" hidden="1" x14ac:dyDescent="0.2">
      <c r="A77" s="31" t="s">
        <v>26</v>
      </c>
      <c r="B77" s="32"/>
      <c r="C77" s="33" t="s">
        <v>185</v>
      </c>
      <c r="D77" s="35"/>
      <c r="E77" s="28">
        <f t="shared" si="43"/>
        <v>0</v>
      </c>
      <c r="F77" s="29"/>
      <c r="G77" s="21" t="e">
        <f t="shared" si="2"/>
        <v>#DIV/0!</v>
      </c>
      <c r="H77" s="35"/>
      <c r="I77" s="27">
        <f t="shared" si="47"/>
        <v>0</v>
      </c>
    </row>
    <row r="78" spans="1:9" x14ac:dyDescent="0.2">
      <c r="A78" s="46" t="s">
        <v>298</v>
      </c>
      <c r="B78" s="47"/>
      <c r="C78" s="48" t="s">
        <v>291</v>
      </c>
      <c r="D78" s="24">
        <f>SUM(D79)</f>
        <v>183</v>
      </c>
      <c r="E78" s="24">
        <f t="shared" ref="E78:F78" si="48">SUM(E79)</f>
        <v>183</v>
      </c>
      <c r="F78" s="24">
        <f t="shared" si="48"/>
        <v>0</v>
      </c>
      <c r="G78" s="21">
        <f t="shared" si="2"/>
        <v>0</v>
      </c>
      <c r="H78" s="24">
        <f>SUM(H79)</f>
        <v>0</v>
      </c>
      <c r="I78" s="24">
        <f>SUM(I79)</f>
        <v>0</v>
      </c>
    </row>
    <row r="79" spans="1:9" x14ac:dyDescent="0.2">
      <c r="A79" s="49" t="s">
        <v>299</v>
      </c>
      <c r="B79" s="50"/>
      <c r="C79" s="51" t="s">
        <v>185</v>
      </c>
      <c r="D79" s="35">
        <v>183</v>
      </c>
      <c r="E79" s="28">
        <f>'Buget 2024'!D79</f>
        <v>183</v>
      </c>
      <c r="F79" s="29">
        <f>E79-D79</f>
        <v>0</v>
      </c>
      <c r="G79" s="21">
        <f t="shared" si="2"/>
        <v>0</v>
      </c>
      <c r="H79" s="27"/>
      <c r="I79" s="27">
        <f>F79-H79</f>
        <v>0</v>
      </c>
    </row>
    <row r="80" spans="1:9" x14ac:dyDescent="0.2">
      <c r="A80" s="30" t="s">
        <v>368</v>
      </c>
      <c r="B80" s="22"/>
      <c r="C80" s="23" t="s">
        <v>325</v>
      </c>
      <c r="D80" s="24">
        <f>D81</f>
        <v>0</v>
      </c>
      <c r="E80" s="24">
        <f t="shared" ref="E80:F80" si="49">E81</f>
        <v>0</v>
      </c>
      <c r="F80" s="24">
        <f t="shared" si="49"/>
        <v>0</v>
      </c>
      <c r="G80" s="21" t="e">
        <f t="shared" si="2"/>
        <v>#DIV/0!</v>
      </c>
      <c r="H80" s="24">
        <f>H81</f>
        <v>0</v>
      </c>
      <c r="I80" s="24">
        <f>I81</f>
        <v>0</v>
      </c>
    </row>
    <row r="81" spans="1:9" hidden="1" x14ac:dyDescent="0.2">
      <c r="A81" s="43" t="s">
        <v>369</v>
      </c>
      <c r="B81" s="32"/>
      <c r="C81" s="33" t="s">
        <v>185</v>
      </c>
      <c r="D81" s="35"/>
      <c r="E81" s="28">
        <f>'Buget 2024'!D81</f>
        <v>0</v>
      </c>
      <c r="F81" s="29">
        <f>E81-D81</f>
        <v>0</v>
      </c>
      <c r="G81" s="21" t="e">
        <f t="shared" si="2"/>
        <v>#DIV/0!</v>
      </c>
      <c r="H81" s="35"/>
      <c r="I81" s="35"/>
    </row>
    <row r="82" spans="1:9" x14ac:dyDescent="0.2">
      <c r="A82" s="30" t="s">
        <v>27</v>
      </c>
      <c r="B82" s="22"/>
      <c r="C82" s="23" t="s">
        <v>186</v>
      </c>
      <c r="D82" s="24">
        <f>SUM(D83:D85)</f>
        <v>5762</v>
      </c>
      <c r="E82" s="24">
        <f t="shared" ref="E82:F82" si="50">SUM(E83:E85)</f>
        <v>5762</v>
      </c>
      <c r="F82" s="24">
        <f t="shared" si="50"/>
        <v>0</v>
      </c>
      <c r="G82" s="21">
        <f t="shared" si="2"/>
        <v>0</v>
      </c>
      <c r="H82" s="24">
        <f>SUM(H83:H85)</f>
        <v>0</v>
      </c>
      <c r="I82" s="24">
        <f>SUM(I83:I85)</f>
        <v>0</v>
      </c>
    </row>
    <row r="83" spans="1:9" hidden="1" x14ac:dyDescent="0.2">
      <c r="A83" s="31" t="s">
        <v>282</v>
      </c>
      <c r="B83" s="32"/>
      <c r="C83" s="33" t="s">
        <v>20</v>
      </c>
      <c r="D83" s="27"/>
      <c r="E83" s="28">
        <f>'Buget 2024'!D83</f>
        <v>0</v>
      </c>
      <c r="F83" s="29">
        <f t="shared" ref="F83:F84" si="51">E83-D83</f>
        <v>0</v>
      </c>
      <c r="G83" s="21" t="e">
        <f t="shared" si="2"/>
        <v>#DIV/0!</v>
      </c>
      <c r="H83" s="27"/>
      <c r="I83" s="27"/>
    </row>
    <row r="84" spans="1:9" x14ac:dyDescent="0.2">
      <c r="A84" s="31" t="s">
        <v>290</v>
      </c>
      <c r="B84" s="32"/>
      <c r="C84" s="33" t="s">
        <v>256</v>
      </c>
      <c r="D84" s="35">
        <v>5762</v>
      </c>
      <c r="E84" s="28">
        <f>'Buget 2024'!D84</f>
        <v>5762</v>
      </c>
      <c r="F84" s="29">
        <f t="shared" si="51"/>
        <v>0</v>
      </c>
      <c r="G84" s="21">
        <f t="shared" si="2"/>
        <v>0</v>
      </c>
      <c r="H84" s="27"/>
      <c r="I84" s="27">
        <f>F84-H84</f>
        <v>0</v>
      </c>
    </row>
    <row r="85" spans="1:9" hidden="1" x14ac:dyDescent="0.2">
      <c r="A85" s="31" t="s">
        <v>28</v>
      </c>
      <c r="B85" s="32"/>
      <c r="C85" s="33" t="s">
        <v>185</v>
      </c>
      <c r="D85" s="35">
        <v>0</v>
      </c>
      <c r="E85" s="28">
        <f>'Buget 2024'!D85</f>
        <v>0</v>
      </c>
      <c r="F85" s="29">
        <f t="shared" ref="F85" si="52">E85-D85</f>
        <v>0</v>
      </c>
      <c r="G85" s="21" t="e">
        <f t="shared" si="2"/>
        <v>#DIV/0!</v>
      </c>
      <c r="H85" s="35">
        <v>0</v>
      </c>
      <c r="I85" s="35">
        <v>0</v>
      </c>
    </row>
    <row r="86" spans="1:9" x14ac:dyDescent="0.2">
      <c r="A86" s="18"/>
      <c r="B86" s="18"/>
      <c r="C86" s="19" t="s">
        <v>30</v>
      </c>
      <c r="D86" s="20"/>
      <c r="E86" s="20"/>
      <c r="F86" s="20"/>
      <c r="G86" s="21" t="e">
        <f t="shared" ref="G86:G149" si="53">F86/D86*100</f>
        <v>#DIV/0!</v>
      </c>
      <c r="H86" s="20"/>
      <c r="I86" s="20"/>
    </row>
    <row r="87" spans="1:9" x14ac:dyDescent="0.2">
      <c r="A87" s="18"/>
      <c r="B87" s="18" t="s">
        <v>189</v>
      </c>
      <c r="C87" s="19" t="s">
        <v>190</v>
      </c>
      <c r="D87" s="20">
        <f>D90+D117</f>
        <v>3300373</v>
      </c>
      <c r="E87" s="20">
        <f t="shared" ref="E87:F88" si="54">E90+E117</f>
        <v>3481376</v>
      </c>
      <c r="F87" s="20">
        <f t="shared" si="54"/>
        <v>181003</v>
      </c>
      <c r="G87" s="21">
        <f t="shared" si="53"/>
        <v>5.4843194996444344</v>
      </c>
      <c r="H87" s="20">
        <f>H90+H117</f>
        <v>0</v>
      </c>
      <c r="I87" s="20">
        <f>I90+I117</f>
        <v>181003</v>
      </c>
    </row>
    <row r="88" spans="1:9" x14ac:dyDescent="0.2">
      <c r="A88" s="18"/>
      <c r="B88" s="18" t="s">
        <v>191</v>
      </c>
      <c r="C88" s="19" t="s">
        <v>192</v>
      </c>
      <c r="D88" s="20">
        <f>D91+D118</f>
        <v>3261510</v>
      </c>
      <c r="E88" s="20">
        <f t="shared" si="54"/>
        <v>3544507</v>
      </c>
      <c r="F88" s="20">
        <f t="shared" si="54"/>
        <v>282997</v>
      </c>
      <c r="G88" s="21">
        <f t="shared" si="53"/>
        <v>8.6768705292947121</v>
      </c>
      <c r="H88" s="20">
        <f>H91+H118</f>
        <v>0</v>
      </c>
      <c r="I88" s="20">
        <f>I91+I118</f>
        <v>282997</v>
      </c>
    </row>
    <row r="89" spans="1:9" ht="13.5" x14ac:dyDescent="0.2">
      <c r="A89" s="22"/>
      <c r="B89" s="22" t="s">
        <v>31</v>
      </c>
      <c r="C89" s="52" t="s">
        <v>32</v>
      </c>
      <c r="D89" s="24"/>
      <c r="E89" s="24"/>
      <c r="F89" s="24"/>
      <c r="G89" s="21" t="e">
        <f t="shared" si="53"/>
        <v>#DIV/0!</v>
      </c>
      <c r="H89" s="24"/>
      <c r="I89" s="24"/>
    </row>
    <row r="90" spans="1:9" x14ac:dyDescent="0.2">
      <c r="A90" s="22"/>
      <c r="B90" s="22" t="s">
        <v>189</v>
      </c>
      <c r="C90" s="53" t="s">
        <v>190</v>
      </c>
      <c r="D90" s="24">
        <f>D93+D96+D99+D102+D105+D108+D111+D114</f>
        <v>2595313</v>
      </c>
      <c r="E90" s="24">
        <f t="shared" ref="E90:F91" si="55">E93+E96+E99+E102+E105+E108+E111+E114</f>
        <v>2771264</v>
      </c>
      <c r="F90" s="24">
        <f t="shared" si="55"/>
        <v>175951</v>
      </c>
      <c r="G90" s="21">
        <f t="shared" si="53"/>
        <v>6.7795676282590964</v>
      </c>
      <c r="H90" s="24">
        <f>H93+H96+H99+H102+H105+H108+H111+H114</f>
        <v>0</v>
      </c>
      <c r="I90" s="24">
        <f>I93+I96+I99+I102+I105+I108+I111+I114</f>
        <v>175951</v>
      </c>
    </row>
    <row r="91" spans="1:9" x14ac:dyDescent="0.2">
      <c r="A91" s="22"/>
      <c r="B91" s="22" t="s">
        <v>191</v>
      </c>
      <c r="C91" s="53" t="s">
        <v>192</v>
      </c>
      <c r="D91" s="24">
        <f>D94+D97+D100+D103+D106+D109+D112+D115</f>
        <v>2860340</v>
      </c>
      <c r="E91" s="24">
        <f t="shared" si="55"/>
        <v>3138285</v>
      </c>
      <c r="F91" s="24">
        <f t="shared" si="55"/>
        <v>277945</v>
      </c>
      <c r="G91" s="21">
        <f t="shared" si="53"/>
        <v>9.7172014515756864</v>
      </c>
      <c r="H91" s="24">
        <f>H94+H97+H100+H103+H106+H109+H112+H115</f>
        <v>0</v>
      </c>
      <c r="I91" s="24">
        <f>I94+I97+I100+I103+I106+I109+I112+I115</f>
        <v>277945</v>
      </c>
    </row>
    <row r="92" spans="1:9" x14ac:dyDescent="0.2">
      <c r="A92" s="22"/>
      <c r="B92" s="22">
        <v>10</v>
      </c>
      <c r="C92" s="23" t="s">
        <v>33</v>
      </c>
      <c r="D92" s="24"/>
      <c r="E92" s="24"/>
      <c r="F92" s="24"/>
      <c r="G92" s="21" t="e">
        <f t="shared" si="53"/>
        <v>#DIV/0!</v>
      </c>
      <c r="H92" s="24"/>
      <c r="I92" s="24"/>
    </row>
    <row r="93" spans="1:9" x14ac:dyDescent="0.2">
      <c r="A93" s="22"/>
      <c r="B93" s="22" t="s">
        <v>189</v>
      </c>
      <c r="C93" s="53" t="s">
        <v>190</v>
      </c>
      <c r="D93" s="24">
        <f t="shared" ref="D93:D94" si="56">D132</f>
        <v>944306</v>
      </c>
      <c r="E93" s="24">
        <f t="shared" ref="E93:F94" si="57">E132</f>
        <v>947945</v>
      </c>
      <c r="F93" s="24">
        <f t="shared" si="57"/>
        <v>3639</v>
      </c>
      <c r="G93" s="21">
        <f t="shared" si="53"/>
        <v>0.38536237194299305</v>
      </c>
      <c r="H93" s="24">
        <f t="shared" ref="H93:I94" si="58">H132</f>
        <v>0</v>
      </c>
      <c r="I93" s="24">
        <f t="shared" si="58"/>
        <v>3639</v>
      </c>
    </row>
    <row r="94" spans="1:9" x14ac:dyDescent="0.2">
      <c r="A94" s="22"/>
      <c r="B94" s="22" t="s">
        <v>191</v>
      </c>
      <c r="C94" s="53" t="s">
        <v>192</v>
      </c>
      <c r="D94" s="24">
        <f t="shared" si="56"/>
        <v>944306</v>
      </c>
      <c r="E94" s="24">
        <f t="shared" si="57"/>
        <v>947945</v>
      </c>
      <c r="F94" s="24">
        <f t="shared" si="57"/>
        <v>3639</v>
      </c>
      <c r="G94" s="21">
        <f t="shared" si="53"/>
        <v>0.38536237194299305</v>
      </c>
      <c r="H94" s="24">
        <f t="shared" si="58"/>
        <v>0</v>
      </c>
      <c r="I94" s="24">
        <f t="shared" si="58"/>
        <v>3639</v>
      </c>
    </row>
    <row r="95" spans="1:9" x14ac:dyDescent="0.2">
      <c r="A95" s="22"/>
      <c r="B95" s="22">
        <v>20</v>
      </c>
      <c r="C95" s="23" t="s">
        <v>193</v>
      </c>
      <c r="D95" s="24"/>
      <c r="E95" s="24"/>
      <c r="F95" s="24"/>
      <c r="G95" s="21" t="e">
        <f t="shared" si="53"/>
        <v>#DIV/0!</v>
      </c>
      <c r="H95" s="24"/>
      <c r="I95" s="24"/>
    </row>
    <row r="96" spans="1:9" x14ac:dyDescent="0.2">
      <c r="A96" s="22"/>
      <c r="B96" s="22" t="s">
        <v>189</v>
      </c>
      <c r="C96" s="53" t="s">
        <v>190</v>
      </c>
      <c r="D96" s="24">
        <f t="shared" ref="D96:F97" si="59">D201+D492+D594</f>
        <v>533803</v>
      </c>
      <c r="E96" s="24">
        <f t="shared" si="59"/>
        <v>644994</v>
      </c>
      <c r="F96" s="24">
        <f t="shared" si="59"/>
        <v>111191</v>
      </c>
      <c r="G96" s="21">
        <f t="shared" si="53"/>
        <v>20.82996910845387</v>
      </c>
      <c r="H96" s="24">
        <f>H201+H492+H594</f>
        <v>0</v>
      </c>
      <c r="I96" s="24">
        <f>I201+I492+I594</f>
        <v>111191</v>
      </c>
    </row>
    <row r="97" spans="1:9" x14ac:dyDescent="0.2">
      <c r="A97" s="22"/>
      <c r="B97" s="22" t="s">
        <v>191</v>
      </c>
      <c r="C97" s="53" t="s">
        <v>192</v>
      </c>
      <c r="D97" s="24">
        <f t="shared" si="59"/>
        <v>533803</v>
      </c>
      <c r="E97" s="24">
        <f t="shared" si="59"/>
        <v>644994</v>
      </c>
      <c r="F97" s="24">
        <f t="shared" si="59"/>
        <v>111191</v>
      </c>
      <c r="G97" s="21">
        <f t="shared" si="53"/>
        <v>20.82996910845387</v>
      </c>
      <c r="H97" s="24">
        <f>H202+H493+H595</f>
        <v>0</v>
      </c>
      <c r="I97" s="24">
        <f>I202+I493+I595</f>
        <v>111191</v>
      </c>
    </row>
    <row r="98" spans="1:9" ht="25.5" x14ac:dyDescent="0.2">
      <c r="A98" s="22"/>
      <c r="B98" s="22">
        <v>56</v>
      </c>
      <c r="C98" s="23" t="s">
        <v>194</v>
      </c>
      <c r="D98" s="24"/>
      <c r="E98" s="24"/>
      <c r="F98" s="24"/>
      <c r="G98" s="21" t="e">
        <f t="shared" si="53"/>
        <v>#DIV/0!</v>
      </c>
      <c r="H98" s="24"/>
      <c r="I98" s="24"/>
    </row>
    <row r="99" spans="1:9" x14ac:dyDescent="0.2">
      <c r="A99" s="22"/>
      <c r="B99" s="22" t="s">
        <v>189</v>
      </c>
      <c r="C99" s="53" t="s">
        <v>190</v>
      </c>
      <c r="D99" s="24">
        <f t="shared" ref="D99:F100" si="60">D336+D618+D501</f>
        <v>251387</v>
      </c>
      <c r="E99" s="24">
        <f t="shared" si="60"/>
        <v>256824</v>
      </c>
      <c r="F99" s="24">
        <f t="shared" si="60"/>
        <v>5437</v>
      </c>
      <c r="G99" s="21">
        <f t="shared" si="53"/>
        <v>2.1628007812655388</v>
      </c>
      <c r="H99" s="24">
        <f>H336+H618+H501</f>
        <v>0</v>
      </c>
      <c r="I99" s="24">
        <f>I336+I618+I501</f>
        <v>5437</v>
      </c>
    </row>
    <row r="100" spans="1:9" x14ac:dyDescent="0.2">
      <c r="A100" s="22"/>
      <c r="B100" s="22" t="s">
        <v>191</v>
      </c>
      <c r="C100" s="53" t="s">
        <v>192</v>
      </c>
      <c r="D100" s="24">
        <f t="shared" si="60"/>
        <v>576219</v>
      </c>
      <c r="E100" s="24">
        <f t="shared" si="60"/>
        <v>730820</v>
      </c>
      <c r="F100" s="24">
        <f t="shared" si="60"/>
        <v>154601</v>
      </c>
      <c r="G100" s="21">
        <f t="shared" si="53"/>
        <v>26.830250304137838</v>
      </c>
      <c r="H100" s="24">
        <f>H337+H619+H502</f>
        <v>0</v>
      </c>
      <c r="I100" s="24">
        <f>I337+I619+I502</f>
        <v>154601</v>
      </c>
    </row>
    <row r="101" spans="1:9" hidden="1" x14ac:dyDescent="0.2">
      <c r="A101" s="22"/>
      <c r="B101" s="22">
        <v>57</v>
      </c>
      <c r="C101" s="23" t="s">
        <v>266</v>
      </c>
      <c r="D101" s="24"/>
      <c r="E101" s="24"/>
      <c r="F101" s="24"/>
      <c r="G101" s="21" t="e">
        <f t="shared" si="53"/>
        <v>#DIV/0!</v>
      </c>
      <c r="H101" s="24"/>
      <c r="I101" s="24"/>
    </row>
    <row r="102" spans="1:9" hidden="1" x14ac:dyDescent="0.2">
      <c r="A102" s="22"/>
      <c r="B102" s="22" t="s">
        <v>189</v>
      </c>
      <c r="C102" s="53" t="s">
        <v>190</v>
      </c>
      <c r="D102" s="24">
        <f>D363</f>
        <v>0</v>
      </c>
      <c r="E102" s="24">
        <f t="shared" ref="E102:F103" si="61">E363</f>
        <v>0</v>
      </c>
      <c r="F102" s="24">
        <f t="shared" si="61"/>
        <v>0</v>
      </c>
      <c r="G102" s="21" t="e">
        <f t="shared" si="53"/>
        <v>#DIV/0!</v>
      </c>
      <c r="H102" s="24">
        <f>H363</f>
        <v>0</v>
      </c>
      <c r="I102" s="24">
        <f>I363</f>
        <v>0</v>
      </c>
    </row>
    <row r="103" spans="1:9" hidden="1" x14ac:dyDescent="0.2">
      <c r="A103" s="22"/>
      <c r="B103" s="22" t="s">
        <v>191</v>
      </c>
      <c r="C103" s="53" t="s">
        <v>192</v>
      </c>
      <c r="D103" s="24">
        <f>D364</f>
        <v>0</v>
      </c>
      <c r="E103" s="24">
        <f t="shared" si="61"/>
        <v>0</v>
      </c>
      <c r="F103" s="24">
        <f t="shared" si="61"/>
        <v>0</v>
      </c>
      <c r="G103" s="21" t="e">
        <f t="shared" si="53"/>
        <v>#DIV/0!</v>
      </c>
      <c r="H103" s="24">
        <f>H364</f>
        <v>0</v>
      </c>
      <c r="I103" s="24">
        <f>I364</f>
        <v>0</v>
      </c>
    </row>
    <row r="104" spans="1:9" ht="38.25" x14ac:dyDescent="0.2">
      <c r="A104" s="22"/>
      <c r="B104" s="22" t="s">
        <v>34</v>
      </c>
      <c r="C104" s="23" t="s">
        <v>195</v>
      </c>
      <c r="D104" s="24"/>
      <c r="E104" s="24"/>
      <c r="F104" s="24"/>
      <c r="G104" s="21" t="e">
        <f t="shared" si="53"/>
        <v>#DIV/0!</v>
      </c>
      <c r="H104" s="24"/>
      <c r="I104" s="24"/>
    </row>
    <row r="105" spans="1:9" x14ac:dyDescent="0.2">
      <c r="A105" s="22"/>
      <c r="B105" s="22" t="s">
        <v>189</v>
      </c>
      <c r="C105" s="53" t="s">
        <v>190</v>
      </c>
      <c r="D105" s="24">
        <f t="shared" ref="D105:F106" si="62">D372+D528+D627</f>
        <v>148261</v>
      </c>
      <c r="E105" s="24">
        <f t="shared" si="62"/>
        <v>151687</v>
      </c>
      <c r="F105" s="24">
        <f t="shared" si="62"/>
        <v>3426</v>
      </c>
      <c r="G105" s="21">
        <f t="shared" si="53"/>
        <v>2.3107897559034405</v>
      </c>
      <c r="H105" s="24">
        <f>H372+H528+H627</f>
        <v>0</v>
      </c>
      <c r="I105" s="24">
        <f>I372+I528+I627</f>
        <v>3426</v>
      </c>
    </row>
    <row r="106" spans="1:9" x14ac:dyDescent="0.2">
      <c r="A106" s="22"/>
      <c r="B106" s="22" t="s">
        <v>191</v>
      </c>
      <c r="C106" s="53" t="s">
        <v>192</v>
      </c>
      <c r="D106" s="24">
        <f t="shared" si="62"/>
        <v>247348</v>
      </c>
      <c r="E106" s="24">
        <f t="shared" si="62"/>
        <v>208604</v>
      </c>
      <c r="F106" s="24">
        <f t="shared" si="62"/>
        <v>-38744</v>
      </c>
      <c r="G106" s="21">
        <f t="shared" si="53"/>
        <v>-15.663761178582403</v>
      </c>
      <c r="H106" s="24">
        <f>H373+H529+H628</f>
        <v>0</v>
      </c>
      <c r="I106" s="24">
        <f>I373+I529+I628</f>
        <v>-38744</v>
      </c>
    </row>
    <row r="107" spans="1:9" x14ac:dyDescent="0.2">
      <c r="A107" s="22"/>
      <c r="B107" s="22" t="s">
        <v>35</v>
      </c>
      <c r="C107" s="23" t="s">
        <v>36</v>
      </c>
      <c r="D107" s="24"/>
      <c r="E107" s="24"/>
      <c r="F107" s="24"/>
      <c r="G107" s="21" t="e">
        <f t="shared" si="53"/>
        <v>#DIV/0!</v>
      </c>
      <c r="H107" s="24"/>
      <c r="I107" s="24"/>
    </row>
    <row r="108" spans="1:9" x14ac:dyDescent="0.2">
      <c r="A108" s="22"/>
      <c r="B108" s="22" t="s">
        <v>189</v>
      </c>
      <c r="C108" s="53" t="s">
        <v>190</v>
      </c>
      <c r="D108" s="24">
        <f t="shared" ref="D108:D109" si="63">D438</f>
        <v>9806</v>
      </c>
      <c r="E108" s="24">
        <f t="shared" ref="E108:F109" si="64">E438</f>
        <v>47064</v>
      </c>
      <c r="F108" s="24">
        <f t="shared" si="64"/>
        <v>37258</v>
      </c>
      <c r="G108" s="21">
        <f t="shared" si="53"/>
        <v>379.95105037732003</v>
      </c>
      <c r="H108" s="24">
        <f t="shared" ref="H108:I109" si="65">H438</f>
        <v>0</v>
      </c>
      <c r="I108" s="24">
        <f t="shared" si="65"/>
        <v>37258</v>
      </c>
    </row>
    <row r="109" spans="1:9" x14ac:dyDescent="0.2">
      <c r="A109" s="22"/>
      <c r="B109" s="22" t="s">
        <v>191</v>
      </c>
      <c r="C109" s="53" t="s">
        <v>192</v>
      </c>
      <c r="D109" s="24">
        <f t="shared" si="63"/>
        <v>9806</v>
      </c>
      <c r="E109" s="24">
        <f t="shared" si="64"/>
        <v>47064</v>
      </c>
      <c r="F109" s="24">
        <f t="shared" si="64"/>
        <v>37258</v>
      </c>
      <c r="G109" s="21">
        <f t="shared" si="53"/>
        <v>379.95105037732003</v>
      </c>
      <c r="H109" s="24">
        <f t="shared" si="65"/>
        <v>0</v>
      </c>
      <c r="I109" s="24">
        <f t="shared" si="65"/>
        <v>37258</v>
      </c>
    </row>
    <row r="110" spans="1:9" ht="25.5" x14ac:dyDescent="0.2">
      <c r="A110" s="22"/>
      <c r="B110" s="22">
        <v>61</v>
      </c>
      <c r="C110" s="23" t="s">
        <v>314</v>
      </c>
      <c r="D110" s="24"/>
      <c r="E110" s="24"/>
      <c r="F110" s="24"/>
      <c r="G110" s="21" t="e">
        <f t="shared" si="53"/>
        <v>#DIV/0!</v>
      </c>
      <c r="H110" s="24"/>
      <c r="I110" s="24"/>
    </row>
    <row r="111" spans="1:9" x14ac:dyDescent="0.2">
      <c r="A111" s="22"/>
      <c r="B111" s="22" t="s">
        <v>189</v>
      </c>
      <c r="C111" s="53" t="s">
        <v>190</v>
      </c>
      <c r="D111" s="24">
        <f>D552</f>
        <v>628500</v>
      </c>
      <c r="E111" s="24">
        <f t="shared" ref="E111:F112" si="66">E552</f>
        <v>628500</v>
      </c>
      <c r="F111" s="24">
        <f t="shared" si="66"/>
        <v>0</v>
      </c>
      <c r="G111" s="21">
        <f t="shared" si="53"/>
        <v>0</v>
      </c>
      <c r="H111" s="24">
        <f>H552</f>
        <v>0</v>
      </c>
      <c r="I111" s="24">
        <f>I552</f>
        <v>0</v>
      </c>
    </row>
    <row r="112" spans="1:9" x14ac:dyDescent="0.2">
      <c r="A112" s="22"/>
      <c r="B112" s="22" t="s">
        <v>191</v>
      </c>
      <c r="C112" s="53" t="s">
        <v>192</v>
      </c>
      <c r="D112" s="24">
        <f>D553</f>
        <v>473858</v>
      </c>
      <c r="E112" s="24">
        <f t="shared" si="66"/>
        <v>473858</v>
      </c>
      <c r="F112" s="24">
        <f t="shared" si="66"/>
        <v>0</v>
      </c>
      <c r="G112" s="21">
        <f t="shared" si="53"/>
        <v>0</v>
      </c>
      <c r="H112" s="24">
        <f>H553</f>
        <v>0</v>
      </c>
      <c r="I112" s="24">
        <f>I553</f>
        <v>0</v>
      </c>
    </row>
    <row r="113" spans="1:9" ht="25.5" x14ac:dyDescent="0.2">
      <c r="A113" s="54"/>
      <c r="B113" s="54">
        <v>65</v>
      </c>
      <c r="C113" s="23" t="s">
        <v>196</v>
      </c>
      <c r="D113" s="24"/>
      <c r="E113" s="24"/>
      <c r="F113" s="24"/>
      <c r="G113" s="21" t="e">
        <f t="shared" si="53"/>
        <v>#DIV/0!</v>
      </c>
      <c r="H113" s="24"/>
      <c r="I113" s="24"/>
    </row>
    <row r="114" spans="1:9" x14ac:dyDescent="0.2">
      <c r="A114" s="54"/>
      <c r="B114" s="22" t="s">
        <v>189</v>
      </c>
      <c r="C114" s="53" t="s">
        <v>190</v>
      </c>
      <c r="D114" s="24">
        <f>D564</f>
        <v>79250</v>
      </c>
      <c r="E114" s="24">
        <f t="shared" ref="E114:F115" si="67">E564</f>
        <v>94250</v>
      </c>
      <c r="F114" s="24">
        <f t="shared" si="67"/>
        <v>15000</v>
      </c>
      <c r="G114" s="21">
        <f t="shared" si="53"/>
        <v>18.927444794952681</v>
      </c>
      <c r="H114" s="24">
        <f>H564</f>
        <v>0</v>
      </c>
      <c r="I114" s="24">
        <f>I564</f>
        <v>15000</v>
      </c>
    </row>
    <row r="115" spans="1:9" x14ac:dyDescent="0.2">
      <c r="A115" s="54"/>
      <c r="B115" s="22" t="s">
        <v>191</v>
      </c>
      <c r="C115" s="53" t="s">
        <v>192</v>
      </c>
      <c r="D115" s="24">
        <f>D565</f>
        <v>75000</v>
      </c>
      <c r="E115" s="24">
        <f t="shared" si="67"/>
        <v>85000</v>
      </c>
      <c r="F115" s="24">
        <f t="shared" si="67"/>
        <v>10000</v>
      </c>
      <c r="G115" s="21">
        <f t="shared" si="53"/>
        <v>13.333333333333334</v>
      </c>
      <c r="H115" s="24">
        <f>H565</f>
        <v>0</v>
      </c>
      <c r="I115" s="24">
        <f>I565</f>
        <v>10000</v>
      </c>
    </row>
    <row r="116" spans="1:9" x14ac:dyDescent="0.2">
      <c r="A116" s="22"/>
      <c r="B116" s="22">
        <v>70</v>
      </c>
      <c r="C116" s="53" t="s">
        <v>37</v>
      </c>
      <c r="D116" s="24"/>
      <c r="E116" s="24"/>
      <c r="F116" s="24"/>
      <c r="G116" s="21" t="e">
        <f t="shared" si="53"/>
        <v>#DIV/0!</v>
      </c>
      <c r="H116" s="24"/>
      <c r="I116" s="24"/>
    </row>
    <row r="117" spans="1:9" x14ac:dyDescent="0.2">
      <c r="A117" s="22"/>
      <c r="B117" s="22" t="s">
        <v>189</v>
      </c>
      <c r="C117" s="53" t="s">
        <v>190</v>
      </c>
      <c r="D117" s="24">
        <f t="shared" ref="D117:F118" si="68">D450+D570+D603</f>
        <v>705060</v>
      </c>
      <c r="E117" s="24">
        <f t="shared" si="68"/>
        <v>710112</v>
      </c>
      <c r="F117" s="24">
        <f t="shared" si="68"/>
        <v>5052</v>
      </c>
      <c r="G117" s="21">
        <f t="shared" si="53"/>
        <v>0.71653476299889363</v>
      </c>
      <c r="H117" s="24">
        <f>H450+H570+H603</f>
        <v>0</v>
      </c>
      <c r="I117" s="24">
        <f>I450+I570+I603</f>
        <v>5052</v>
      </c>
    </row>
    <row r="118" spans="1:9" x14ac:dyDescent="0.2">
      <c r="A118" s="22"/>
      <c r="B118" s="22" t="s">
        <v>191</v>
      </c>
      <c r="C118" s="53" t="s">
        <v>192</v>
      </c>
      <c r="D118" s="24">
        <f t="shared" si="68"/>
        <v>401170</v>
      </c>
      <c r="E118" s="24">
        <f t="shared" si="68"/>
        <v>406222</v>
      </c>
      <c r="F118" s="24">
        <f t="shared" si="68"/>
        <v>5052</v>
      </c>
      <c r="G118" s="21">
        <f t="shared" si="53"/>
        <v>1.2593164992397239</v>
      </c>
      <c r="H118" s="24">
        <f>H451+H571+H604</f>
        <v>0</v>
      </c>
      <c r="I118" s="24">
        <f>I451+I571+I604</f>
        <v>5052</v>
      </c>
    </row>
    <row r="119" spans="1:9" x14ac:dyDescent="0.2">
      <c r="A119" s="18"/>
      <c r="B119" s="18"/>
      <c r="C119" s="55" t="s">
        <v>319</v>
      </c>
      <c r="D119" s="20"/>
      <c r="E119" s="20"/>
      <c r="F119" s="20"/>
      <c r="G119" s="21" t="e">
        <f t="shared" si="53"/>
        <v>#DIV/0!</v>
      </c>
      <c r="H119" s="20"/>
      <c r="I119" s="20"/>
    </row>
    <row r="120" spans="1:9" x14ac:dyDescent="0.2">
      <c r="A120" s="18"/>
      <c r="B120" s="18" t="s">
        <v>189</v>
      </c>
      <c r="C120" s="55" t="s">
        <v>190</v>
      </c>
      <c r="D120" s="20">
        <f t="shared" ref="D120:F121" si="69">D123+D483+D609</f>
        <v>3300373</v>
      </c>
      <c r="E120" s="20">
        <f t="shared" si="69"/>
        <v>3481376</v>
      </c>
      <c r="F120" s="20">
        <f t="shared" si="69"/>
        <v>181003</v>
      </c>
      <c r="G120" s="21">
        <f t="shared" si="53"/>
        <v>5.4843194996444344</v>
      </c>
      <c r="H120" s="20">
        <f>H123+H483+H609</f>
        <v>0</v>
      </c>
      <c r="I120" s="20">
        <f>I123+I483+I609</f>
        <v>181003</v>
      </c>
    </row>
    <row r="121" spans="1:9" x14ac:dyDescent="0.2">
      <c r="A121" s="18"/>
      <c r="B121" s="18" t="s">
        <v>191</v>
      </c>
      <c r="C121" s="55" t="s">
        <v>192</v>
      </c>
      <c r="D121" s="20">
        <f t="shared" si="69"/>
        <v>3261510</v>
      </c>
      <c r="E121" s="20">
        <f t="shared" si="69"/>
        <v>3544507</v>
      </c>
      <c r="F121" s="20">
        <f t="shared" si="69"/>
        <v>282997</v>
      </c>
      <c r="G121" s="21">
        <f t="shared" si="53"/>
        <v>8.6768705292947121</v>
      </c>
      <c r="H121" s="20">
        <f>H124+H484+H610</f>
        <v>0</v>
      </c>
      <c r="I121" s="20">
        <f>I124+I484+I610</f>
        <v>282997</v>
      </c>
    </row>
    <row r="122" spans="1:9" x14ac:dyDescent="0.2">
      <c r="A122" s="22" t="s">
        <v>29</v>
      </c>
      <c r="B122" s="22"/>
      <c r="C122" s="53" t="s">
        <v>38</v>
      </c>
      <c r="D122" s="24"/>
      <c r="E122" s="24"/>
      <c r="F122" s="24"/>
      <c r="G122" s="21" t="e">
        <f t="shared" si="53"/>
        <v>#DIV/0!</v>
      </c>
      <c r="H122" s="24"/>
      <c r="I122" s="24"/>
    </row>
    <row r="123" spans="1:9" x14ac:dyDescent="0.2">
      <c r="A123" s="22"/>
      <c r="B123" s="22" t="s">
        <v>189</v>
      </c>
      <c r="C123" s="53" t="s">
        <v>190</v>
      </c>
      <c r="D123" s="24">
        <f t="shared" ref="D123" si="70">D126</f>
        <v>1824378</v>
      </c>
      <c r="E123" s="24">
        <f t="shared" ref="E123:F124" si="71">E126</f>
        <v>1844038</v>
      </c>
      <c r="F123" s="24">
        <f t="shared" si="71"/>
        <v>19660</v>
      </c>
      <c r="G123" s="21">
        <f t="shared" si="53"/>
        <v>1.0776275530619204</v>
      </c>
      <c r="H123" s="24">
        <f t="shared" ref="H123:I123" si="72">H126</f>
        <v>0</v>
      </c>
      <c r="I123" s="24">
        <f t="shared" si="72"/>
        <v>19660</v>
      </c>
    </row>
    <row r="124" spans="1:9" x14ac:dyDescent="0.2">
      <c r="A124" s="22"/>
      <c r="B124" s="22" t="s">
        <v>191</v>
      </c>
      <c r="C124" s="53" t="s">
        <v>192</v>
      </c>
      <c r="D124" s="24">
        <f>D127</f>
        <v>1792539</v>
      </c>
      <c r="E124" s="24">
        <f t="shared" si="71"/>
        <v>1812199</v>
      </c>
      <c r="F124" s="24">
        <f t="shared" si="71"/>
        <v>19660</v>
      </c>
      <c r="G124" s="21">
        <f t="shared" si="53"/>
        <v>1.0967683269373776</v>
      </c>
      <c r="H124" s="24">
        <f>H127</f>
        <v>0</v>
      </c>
      <c r="I124" s="24">
        <f>I127</f>
        <v>19660</v>
      </c>
    </row>
    <row r="125" spans="1:9" x14ac:dyDescent="0.2">
      <c r="A125" s="22" t="s">
        <v>29</v>
      </c>
      <c r="B125" s="22" t="s">
        <v>39</v>
      </c>
      <c r="C125" s="53" t="s">
        <v>197</v>
      </c>
      <c r="D125" s="24"/>
      <c r="E125" s="24"/>
      <c r="F125" s="24"/>
      <c r="G125" s="21" t="e">
        <f t="shared" si="53"/>
        <v>#DIV/0!</v>
      </c>
      <c r="H125" s="24"/>
      <c r="I125" s="24"/>
    </row>
    <row r="126" spans="1:9" x14ac:dyDescent="0.2">
      <c r="A126" s="22"/>
      <c r="B126" s="22" t="s">
        <v>189</v>
      </c>
      <c r="C126" s="53" t="s">
        <v>190</v>
      </c>
      <c r="D126" s="24">
        <f t="shared" ref="D126:F127" si="73">D129+D450</f>
        <v>1824378</v>
      </c>
      <c r="E126" s="24">
        <f t="shared" si="73"/>
        <v>1844038</v>
      </c>
      <c r="F126" s="24">
        <f t="shared" si="73"/>
        <v>19660</v>
      </c>
      <c r="G126" s="21">
        <f t="shared" si="53"/>
        <v>1.0776275530619204</v>
      </c>
      <c r="H126" s="24">
        <f>H129+H450</f>
        <v>0</v>
      </c>
      <c r="I126" s="24">
        <f>I129+I450</f>
        <v>19660</v>
      </c>
    </row>
    <row r="127" spans="1:9" x14ac:dyDescent="0.2">
      <c r="A127" s="22"/>
      <c r="B127" s="22" t="s">
        <v>191</v>
      </c>
      <c r="C127" s="53" t="s">
        <v>192</v>
      </c>
      <c r="D127" s="24">
        <f t="shared" si="73"/>
        <v>1792539</v>
      </c>
      <c r="E127" s="24">
        <f t="shared" si="73"/>
        <v>1812199</v>
      </c>
      <c r="F127" s="24">
        <f t="shared" si="73"/>
        <v>19660</v>
      </c>
      <c r="G127" s="21">
        <f t="shared" si="53"/>
        <v>1.0967683269373776</v>
      </c>
      <c r="H127" s="24">
        <f>H130+H451</f>
        <v>0</v>
      </c>
      <c r="I127" s="24">
        <f>I130+I451</f>
        <v>19660</v>
      </c>
    </row>
    <row r="128" spans="1:9" x14ac:dyDescent="0.2">
      <c r="A128" s="22" t="s">
        <v>29</v>
      </c>
      <c r="B128" s="22" t="s">
        <v>31</v>
      </c>
      <c r="C128" s="53" t="s">
        <v>32</v>
      </c>
      <c r="D128" s="24"/>
      <c r="E128" s="24"/>
      <c r="F128" s="24"/>
      <c r="G128" s="21" t="e">
        <f t="shared" si="53"/>
        <v>#DIV/0!</v>
      </c>
      <c r="H128" s="24"/>
      <c r="I128" s="24"/>
    </row>
    <row r="129" spans="1:9" x14ac:dyDescent="0.2">
      <c r="A129" s="22"/>
      <c r="B129" s="22" t="s">
        <v>189</v>
      </c>
      <c r="C129" s="53" t="s">
        <v>190</v>
      </c>
      <c r="D129" s="24">
        <f t="shared" ref="D129:F130" si="74">D132+D201+D336+D363+D372+D438</f>
        <v>1493919</v>
      </c>
      <c r="E129" s="24">
        <f t="shared" si="74"/>
        <v>1508527</v>
      </c>
      <c r="F129" s="24">
        <f t="shared" si="74"/>
        <v>14608</v>
      </c>
      <c r="G129" s="21">
        <f t="shared" si="53"/>
        <v>0.97783079270027351</v>
      </c>
      <c r="H129" s="24">
        <f t="shared" ref="H129:I129" si="75">H132+H201+H336+H363+H372+H438</f>
        <v>0</v>
      </c>
      <c r="I129" s="24">
        <f t="shared" si="75"/>
        <v>14608</v>
      </c>
    </row>
    <row r="130" spans="1:9" x14ac:dyDescent="0.2">
      <c r="A130" s="22"/>
      <c r="B130" s="22" t="s">
        <v>191</v>
      </c>
      <c r="C130" s="53" t="s">
        <v>192</v>
      </c>
      <c r="D130" s="24">
        <f t="shared" si="74"/>
        <v>1491539</v>
      </c>
      <c r="E130" s="24">
        <f t="shared" si="74"/>
        <v>1506147</v>
      </c>
      <c r="F130" s="24">
        <f t="shared" si="74"/>
        <v>14608</v>
      </c>
      <c r="G130" s="21">
        <f t="shared" si="53"/>
        <v>0.97939108531523489</v>
      </c>
      <c r="H130" s="24">
        <f t="shared" ref="H130:I130" si="76">H133+H202+H337+H364+H373+H439</f>
        <v>0</v>
      </c>
      <c r="I130" s="24">
        <f t="shared" si="76"/>
        <v>14608</v>
      </c>
    </row>
    <row r="131" spans="1:9" x14ac:dyDescent="0.2">
      <c r="A131" s="22" t="s">
        <v>29</v>
      </c>
      <c r="B131" s="22">
        <v>10</v>
      </c>
      <c r="C131" s="53" t="s">
        <v>33</v>
      </c>
      <c r="D131" s="24"/>
      <c r="E131" s="24"/>
      <c r="F131" s="24"/>
      <c r="G131" s="21" t="e">
        <f t="shared" si="53"/>
        <v>#DIV/0!</v>
      </c>
      <c r="H131" s="24"/>
      <c r="I131" s="24"/>
    </row>
    <row r="132" spans="1:9" x14ac:dyDescent="0.2">
      <c r="A132" s="22"/>
      <c r="B132" s="22" t="s">
        <v>189</v>
      </c>
      <c r="C132" s="53" t="s">
        <v>190</v>
      </c>
      <c r="D132" s="24">
        <f t="shared" ref="D132:F133" si="77">D135+D174+D162</f>
        <v>944306</v>
      </c>
      <c r="E132" s="24">
        <f t="shared" si="77"/>
        <v>947945</v>
      </c>
      <c r="F132" s="24">
        <f t="shared" si="77"/>
        <v>3639</v>
      </c>
      <c r="G132" s="21">
        <f t="shared" si="53"/>
        <v>0.38536237194299305</v>
      </c>
      <c r="H132" s="24">
        <f t="shared" ref="H132:I132" si="78">H135+H174+H162</f>
        <v>0</v>
      </c>
      <c r="I132" s="24">
        <f t="shared" si="78"/>
        <v>3639</v>
      </c>
    </row>
    <row r="133" spans="1:9" x14ac:dyDescent="0.2">
      <c r="A133" s="22"/>
      <c r="B133" s="22" t="s">
        <v>191</v>
      </c>
      <c r="C133" s="53" t="s">
        <v>192</v>
      </c>
      <c r="D133" s="24">
        <f t="shared" si="77"/>
        <v>944306</v>
      </c>
      <c r="E133" s="24">
        <f t="shared" si="77"/>
        <v>947945</v>
      </c>
      <c r="F133" s="24">
        <f t="shared" si="77"/>
        <v>3639</v>
      </c>
      <c r="G133" s="21">
        <f t="shared" si="53"/>
        <v>0.38536237194299305</v>
      </c>
      <c r="H133" s="24">
        <f t="shared" ref="H133:I133" si="79">H136+H175+H163</f>
        <v>0</v>
      </c>
      <c r="I133" s="24">
        <f t="shared" si="79"/>
        <v>3639</v>
      </c>
    </row>
    <row r="134" spans="1:9" x14ac:dyDescent="0.2">
      <c r="A134" s="22" t="s">
        <v>29</v>
      </c>
      <c r="B134" s="22" t="s">
        <v>40</v>
      </c>
      <c r="C134" s="53" t="s">
        <v>198</v>
      </c>
      <c r="D134" s="24"/>
      <c r="E134" s="24"/>
      <c r="F134" s="24"/>
      <c r="G134" s="21" t="e">
        <f t="shared" si="53"/>
        <v>#DIV/0!</v>
      </c>
      <c r="H134" s="24"/>
      <c r="I134" s="24"/>
    </row>
    <row r="135" spans="1:9" x14ac:dyDescent="0.2">
      <c r="A135" s="22"/>
      <c r="B135" s="22" t="s">
        <v>189</v>
      </c>
      <c r="C135" s="53" t="s">
        <v>190</v>
      </c>
      <c r="D135" s="24">
        <f>D138+D141+D144+D147+D150+D153+D159+D156</f>
        <v>907824</v>
      </c>
      <c r="E135" s="24">
        <f t="shared" ref="E135:F136" si="80">E138+E141+E144+E147+E150+E153+E159+E156</f>
        <v>910627</v>
      </c>
      <c r="F135" s="24">
        <f t="shared" si="80"/>
        <v>2803</v>
      </c>
      <c r="G135" s="21">
        <f t="shared" si="53"/>
        <v>0.30876028833782759</v>
      </c>
      <c r="H135" s="24">
        <f>H138+H141+H144+H147+H150+H153+H159+H156</f>
        <v>-95</v>
      </c>
      <c r="I135" s="24">
        <f>I138+I141+I144+I147+I150+I153+I159+I156</f>
        <v>2898</v>
      </c>
    </row>
    <row r="136" spans="1:9" x14ac:dyDescent="0.2">
      <c r="A136" s="22"/>
      <c r="B136" s="22" t="s">
        <v>191</v>
      </c>
      <c r="C136" s="53" t="s">
        <v>192</v>
      </c>
      <c r="D136" s="24">
        <f>D139+D142+D145+D148+D151+D154+D160+D157</f>
        <v>907824</v>
      </c>
      <c r="E136" s="24">
        <f t="shared" si="80"/>
        <v>910627</v>
      </c>
      <c r="F136" s="24">
        <f t="shared" si="80"/>
        <v>2803</v>
      </c>
      <c r="G136" s="21">
        <f t="shared" si="53"/>
        <v>0.30876028833782759</v>
      </c>
      <c r="H136" s="24">
        <f>H139+H142+H145+H148+H151+H154+H160+H157</f>
        <v>-95</v>
      </c>
      <c r="I136" s="24">
        <f>I139+I142+I145+I148+I151+I154+I160+I157</f>
        <v>2898</v>
      </c>
    </row>
    <row r="137" spans="1:9" x14ac:dyDescent="0.2">
      <c r="A137" s="56" t="s">
        <v>29</v>
      </c>
      <c r="B137" s="56" t="s">
        <v>41</v>
      </c>
      <c r="C137" s="57" t="s">
        <v>199</v>
      </c>
      <c r="D137" s="27"/>
      <c r="E137" s="27"/>
      <c r="F137" s="27"/>
      <c r="G137" s="21" t="e">
        <f t="shared" si="53"/>
        <v>#DIV/0!</v>
      </c>
      <c r="H137" s="27"/>
      <c r="I137" s="27"/>
    </row>
    <row r="138" spans="1:9" x14ac:dyDescent="0.2">
      <c r="A138" s="56"/>
      <c r="B138" s="58" t="s">
        <v>189</v>
      </c>
      <c r="C138" s="59" t="s">
        <v>190</v>
      </c>
      <c r="D138" s="34">
        <v>755497</v>
      </c>
      <c r="E138" s="28">
        <f>'Buget 2024'!D138</f>
        <v>762454</v>
      </c>
      <c r="F138" s="29">
        <f t="shared" ref="F138:F139" si="81">E138-D138</f>
        <v>6957</v>
      </c>
      <c r="G138" s="21">
        <f t="shared" si="53"/>
        <v>0.9208507776999777</v>
      </c>
      <c r="H138" s="27">
        <v>10118</v>
      </c>
      <c r="I138" s="27">
        <f t="shared" ref="I138:I139" si="82">F138-H138</f>
        <v>-3161</v>
      </c>
    </row>
    <row r="139" spans="1:9" x14ac:dyDescent="0.2">
      <c r="A139" s="56"/>
      <c r="B139" s="60" t="s">
        <v>191</v>
      </c>
      <c r="C139" s="61" t="s">
        <v>192</v>
      </c>
      <c r="D139" s="34">
        <v>755497</v>
      </c>
      <c r="E139" s="28">
        <f>'Buget 2024'!D139</f>
        <v>762454</v>
      </c>
      <c r="F139" s="29">
        <f t="shared" si="81"/>
        <v>6957</v>
      </c>
      <c r="G139" s="21">
        <f t="shared" si="53"/>
        <v>0.9208507776999777</v>
      </c>
      <c r="H139" s="27">
        <v>10118</v>
      </c>
      <c r="I139" s="27">
        <f t="shared" si="82"/>
        <v>-3161</v>
      </c>
    </row>
    <row r="140" spans="1:9" x14ac:dyDescent="0.2">
      <c r="A140" s="56" t="s">
        <v>29</v>
      </c>
      <c r="B140" s="56" t="s">
        <v>300</v>
      </c>
      <c r="C140" s="57" t="s">
        <v>301</v>
      </c>
      <c r="D140" s="28"/>
      <c r="E140" s="27"/>
      <c r="F140" s="27"/>
      <c r="G140" s="21" t="e">
        <f t="shared" si="53"/>
        <v>#DIV/0!</v>
      </c>
      <c r="H140" s="28"/>
      <c r="I140" s="28"/>
    </row>
    <row r="141" spans="1:9" x14ac:dyDescent="0.2">
      <c r="A141" s="56"/>
      <c r="B141" s="58" t="s">
        <v>189</v>
      </c>
      <c r="C141" s="59" t="s">
        <v>190</v>
      </c>
      <c r="D141" s="34">
        <v>85257</v>
      </c>
      <c r="E141" s="28">
        <f>'Buget 2024'!D141</f>
        <v>80913</v>
      </c>
      <c r="F141" s="29">
        <f t="shared" ref="F141:F142" si="83">E141-D141</f>
        <v>-4344</v>
      </c>
      <c r="G141" s="21">
        <f t="shared" si="53"/>
        <v>-5.0951828002392761</v>
      </c>
      <c r="H141" s="27">
        <v>-4344</v>
      </c>
      <c r="I141" s="27">
        <f t="shared" ref="I141:I142" si="84">F141-H141</f>
        <v>0</v>
      </c>
    </row>
    <row r="142" spans="1:9" x14ac:dyDescent="0.2">
      <c r="A142" s="56"/>
      <c r="B142" s="60" t="s">
        <v>191</v>
      </c>
      <c r="C142" s="61" t="s">
        <v>192</v>
      </c>
      <c r="D142" s="34">
        <v>85257</v>
      </c>
      <c r="E142" s="28">
        <f>'Buget 2024'!D142</f>
        <v>80913</v>
      </c>
      <c r="F142" s="29">
        <f t="shared" si="83"/>
        <v>-4344</v>
      </c>
      <c r="G142" s="21">
        <f t="shared" si="53"/>
        <v>-5.0951828002392761</v>
      </c>
      <c r="H142" s="27">
        <v>-4344</v>
      </c>
      <c r="I142" s="27">
        <f t="shared" si="84"/>
        <v>0</v>
      </c>
    </row>
    <row r="143" spans="1:9" x14ac:dyDescent="0.2">
      <c r="A143" s="25" t="s">
        <v>29</v>
      </c>
      <c r="B143" s="25" t="s">
        <v>42</v>
      </c>
      <c r="C143" s="62" t="s">
        <v>43</v>
      </c>
      <c r="D143" s="28"/>
      <c r="E143" s="27"/>
      <c r="F143" s="27"/>
      <c r="G143" s="21" t="e">
        <f t="shared" si="53"/>
        <v>#DIV/0!</v>
      </c>
      <c r="H143" s="28"/>
      <c r="I143" s="28"/>
    </row>
    <row r="144" spans="1:9" x14ac:dyDescent="0.2">
      <c r="A144" s="25"/>
      <c r="B144" s="58" t="s">
        <v>189</v>
      </c>
      <c r="C144" s="59" t="s">
        <v>190</v>
      </c>
      <c r="D144" s="34">
        <v>10372</v>
      </c>
      <c r="E144" s="28">
        <f>'Buget 2024'!D144</f>
        <v>10048</v>
      </c>
      <c r="F144" s="29">
        <f t="shared" ref="F144:F145" si="85">E144-D144</f>
        <v>-324</v>
      </c>
      <c r="G144" s="21">
        <f t="shared" si="53"/>
        <v>-3.1237948322406477</v>
      </c>
      <c r="H144" s="27">
        <v>-324</v>
      </c>
      <c r="I144" s="27">
        <f t="shared" ref="I144:I145" si="86">F144-H144</f>
        <v>0</v>
      </c>
    </row>
    <row r="145" spans="1:9" x14ac:dyDescent="0.2">
      <c r="A145" s="25"/>
      <c r="B145" s="60" t="s">
        <v>191</v>
      </c>
      <c r="C145" s="61" t="s">
        <v>192</v>
      </c>
      <c r="D145" s="34">
        <v>10372</v>
      </c>
      <c r="E145" s="28">
        <f>'Buget 2024'!D145</f>
        <v>10048</v>
      </c>
      <c r="F145" s="29">
        <f t="shared" si="85"/>
        <v>-324</v>
      </c>
      <c r="G145" s="21">
        <f t="shared" si="53"/>
        <v>-3.1237948322406477</v>
      </c>
      <c r="H145" s="27">
        <v>-324</v>
      </c>
      <c r="I145" s="27">
        <f t="shared" si="86"/>
        <v>0</v>
      </c>
    </row>
    <row r="146" spans="1:9" x14ac:dyDescent="0.2">
      <c r="A146" s="25" t="s">
        <v>29</v>
      </c>
      <c r="B146" s="25" t="s">
        <v>44</v>
      </c>
      <c r="C146" s="62" t="s">
        <v>200</v>
      </c>
      <c r="D146" s="28"/>
      <c r="E146" s="27"/>
      <c r="F146" s="27"/>
      <c r="G146" s="21" t="e">
        <f t="shared" si="53"/>
        <v>#DIV/0!</v>
      </c>
      <c r="H146" s="28"/>
      <c r="I146" s="28"/>
    </row>
    <row r="147" spans="1:9" x14ac:dyDescent="0.2">
      <c r="A147" s="25"/>
      <c r="B147" s="58" t="s">
        <v>189</v>
      </c>
      <c r="C147" s="59" t="s">
        <v>190</v>
      </c>
      <c r="D147" s="34">
        <v>1649</v>
      </c>
      <c r="E147" s="28">
        <f>'Buget 2024'!D147</f>
        <v>1682</v>
      </c>
      <c r="F147" s="29">
        <f t="shared" ref="F147:F148" si="87">E147-D147</f>
        <v>33</v>
      </c>
      <c r="G147" s="21">
        <f t="shared" si="53"/>
        <v>2.0012128562765312</v>
      </c>
      <c r="H147" s="27">
        <v>33</v>
      </c>
      <c r="I147" s="27">
        <f t="shared" ref="I147:I148" si="88">F147-H147</f>
        <v>0</v>
      </c>
    </row>
    <row r="148" spans="1:9" x14ac:dyDescent="0.2">
      <c r="A148" s="25"/>
      <c r="B148" s="60" t="s">
        <v>191</v>
      </c>
      <c r="C148" s="61" t="s">
        <v>192</v>
      </c>
      <c r="D148" s="34">
        <v>1649</v>
      </c>
      <c r="E148" s="28">
        <f>'Buget 2024'!D148</f>
        <v>1682</v>
      </c>
      <c r="F148" s="29">
        <f t="shared" si="87"/>
        <v>33</v>
      </c>
      <c r="G148" s="21">
        <f t="shared" si="53"/>
        <v>2.0012128562765312</v>
      </c>
      <c r="H148" s="27">
        <v>33</v>
      </c>
      <c r="I148" s="27">
        <f t="shared" si="88"/>
        <v>0</v>
      </c>
    </row>
    <row r="149" spans="1:9" x14ac:dyDescent="0.2">
      <c r="A149" s="25" t="s">
        <v>29</v>
      </c>
      <c r="B149" s="25" t="s">
        <v>45</v>
      </c>
      <c r="C149" s="62" t="s">
        <v>263</v>
      </c>
      <c r="D149" s="28"/>
      <c r="E149" s="27"/>
      <c r="F149" s="27"/>
      <c r="G149" s="21" t="e">
        <f t="shared" si="53"/>
        <v>#DIV/0!</v>
      </c>
      <c r="H149" s="28"/>
      <c r="I149" s="28"/>
    </row>
    <row r="150" spans="1:9" x14ac:dyDescent="0.2">
      <c r="A150" s="25"/>
      <c r="B150" s="58" t="s">
        <v>189</v>
      </c>
      <c r="C150" s="59" t="s">
        <v>190</v>
      </c>
      <c r="D150" s="34">
        <v>1579</v>
      </c>
      <c r="E150" s="28">
        <f>'Buget 2024'!D150</f>
        <v>1584</v>
      </c>
      <c r="F150" s="29">
        <f t="shared" ref="F150:F151" si="89">E150-D150</f>
        <v>5</v>
      </c>
      <c r="G150" s="21">
        <f t="shared" ref="G150:G216" si="90">F150/D150*100</f>
        <v>0.31665611146295125</v>
      </c>
      <c r="H150" s="27">
        <v>5</v>
      </c>
      <c r="I150" s="27">
        <f t="shared" ref="I150:I151" si="91">F150-H150</f>
        <v>0</v>
      </c>
    </row>
    <row r="151" spans="1:9" x14ac:dyDescent="0.2">
      <c r="A151" s="25"/>
      <c r="B151" s="60" t="s">
        <v>191</v>
      </c>
      <c r="C151" s="61" t="s">
        <v>192</v>
      </c>
      <c r="D151" s="34">
        <v>1579</v>
      </c>
      <c r="E151" s="28">
        <f>'Buget 2024'!D151</f>
        <v>1584</v>
      </c>
      <c r="F151" s="29">
        <f t="shared" si="89"/>
        <v>5</v>
      </c>
      <c r="G151" s="21">
        <f t="shared" si="90"/>
        <v>0.31665611146295125</v>
      </c>
      <c r="H151" s="27">
        <v>5</v>
      </c>
      <c r="I151" s="27">
        <f t="shared" si="91"/>
        <v>0</v>
      </c>
    </row>
    <row r="152" spans="1:9" hidden="1" x14ac:dyDescent="0.2">
      <c r="A152" s="25" t="s">
        <v>29</v>
      </c>
      <c r="B152" s="25" t="s">
        <v>46</v>
      </c>
      <c r="C152" s="62" t="s">
        <v>201</v>
      </c>
      <c r="D152" s="28"/>
      <c r="E152" s="27"/>
      <c r="F152" s="27"/>
      <c r="G152" s="21" t="e">
        <f t="shared" si="90"/>
        <v>#DIV/0!</v>
      </c>
      <c r="H152" s="28"/>
      <c r="I152" s="28"/>
    </row>
    <row r="153" spans="1:9" hidden="1" x14ac:dyDescent="0.2">
      <c r="A153" s="25"/>
      <c r="B153" s="58" t="s">
        <v>189</v>
      </c>
      <c r="C153" s="59" t="s">
        <v>190</v>
      </c>
      <c r="D153" s="34">
        <v>0</v>
      </c>
      <c r="E153" s="35">
        <v>0</v>
      </c>
      <c r="F153" s="35">
        <v>0</v>
      </c>
      <c r="G153" s="21" t="e">
        <f t="shared" si="90"/>
        <v>#DIV/0!</v>
      </c>
      <c r="H153" s="34">
        <v>0</v>
      </c>
      <c r="I153" s="34">
        <v>0</v>
      </c>
    </row>
    <row r="154" spans="1:9" hidden="1" x14ac:dyDescent="0.2">
      <c r="A154" s="25"/>
      <c r="B154" s="60" t="s">
        <v>191</v>
      </c>
      <c r="C154" s="61" t="s">
        <v>192</v>
      </c>
      <c r="D154" s="34">
        <v>0</v>
      </c>
      <c r="E154" s="35">
        <v>0</v>
      </c>
      <c r="F154" s="35">
        <v>0</v>
      </c>
      <c r="G154" s="21" t="e">
        <f t="shared" si="90"/>
        <v>#DIV/0!</v>
      </c>
      <c r="H154" s="34">
        <v>0</v>
      </c>
      <c r="I154" s="34">
        <v>0</v>
      </c>
    </row>
    <row r="155" spans="1:9" x14ac:dyDescent="0.2">
      <c r="A155" s="25" t="s">
        <v>29</v>
      </c>
      <c r="B155" s="25" t="s">
        <v>264</v>
      </c>
      <c r="C155" s="62" t="s">
        <v>265</v>
      </c>
      <c r="D155" s="28"/>
      <c r="E155" s="27"/>
      <c r="F155" s="27"/>
      <c r="G155" s="21" t="e">
        <f t="shared" si="90"/>
        <v>#DIV/0!</v>
      </c>
      <c r="H155" s="28"/>
      <c r="I155" s="28"/>
    </row>
    <row r="156" spans="1:9" x14ac:dyDescent="0.2">
      <c r="A156" s="25"/>
      <c r="B156" s="58" t="s">
        <v>189</v>
      </c>
      <c r="C156" s="59" t="s">
        <v>190</v>
      </c>
      <c r="D156" s="34">
        <v>31760</v>
      </c>
      <c r="E156" s="28">
        <f>'Buget 2024'!D156</f>
        <v>30173</v>
      </c>
      <c r="F156" s="29">
        <f t="shared" ref="F156:F157" si="92">E156-D156</f>
        <v>-1587</v>
      </c>
      <c r="G156" s="21">
        <f t="shared" si="90"/>
        <v>-4.9968513853904284</v>
      </c>
      <c r="H156" s="27">
        <v>-1587</v>
      </c>
      <c r="I156" s="27">
        <f t="shared" ref="I156:I157" si="93">F156-H156</f>
        <v>0</v>
      </c>
    </row>
    <row r="157" spans="1:9" x14ac:dyDescent="0.2">
      <c r="A157" s="25"/>
      <c r="B157" s="60" t="s">
        <v>191</v>
      </c>
      <c r="C157" s="61" t="s">
        <v>192</v>
      </c>
      <c r="D157" s="34">
        <v>31760</v>
      </c>
      <c r="E157" s="28">
        <f>'Buget 2024'!D157</f>
        <v>30173</v>
      </c>
      <c r="F157" s="29">
        <f t="shared" si="92"/>
        <v>-1587</v>
      </c>
      <c r="G157" s="21">
        <f t="shared" si="90"/>
        <v>-4.9968513853904284</v>
      </c>
      <c r="H157" s="27">
        <v>-1587</v>
      </c>
      <c r="I157" s="27">
        <f t="shared" si="93"/>
        <v>0</v>
      </c>
    </row>
    <row r="158" spans="1:9" x14ac:dyDescent="0.2">
      <c r="A158" s="25" t="s">
        <v>29</v>
      </c>
      <c r="B158" s="25" t="s">
        <v>47</v>
      </c>
      <c r="C158" s="62" t="s">
        <v>202</v>
      </c>
      <c r="D158" s="28"/>
      <c r="E158" s="27"/>
      <c r="F158" s="27"/>
      <c r="G158" s="21" t="e">
        <f t="shared" si="90"/>
        <v>#DIV/0!</v>
      </c>
      <c r="H158" s="28"/>
      <c r="I158" s="28"/>
    </row>
    <row r="159" spans="1:9" x14ac:dyDescent="0.2">
      <c r="A159" s="25"/>
      <c r="B159" s="58" t="s">
        <v>189</v>
      </c>
      <c r="C159" s="59" t="s">
        <v>190</v>
      </c>
      <c r="D159" s="34">
        <v>21710</v>
      </c>
      <c r="E159" s="28">
        <f>'Buget 2024'!D159</f>
        <v>23773</v>
      </c>
      <c r="F159" s="29">
        <f t="shared" ref="F159:F160" si="94">E159-D159</f>
        <v>2063</v>
      </c>
      <c r="G159" s="21">
        <f t="shared" si="90"/>
        <v>9.5025333947489639</v>
      </c>
      <c r="H159" s="27">
        <v>-3996</v>
      </c>
      <c r="I159" s="27">
        <f t="shared" ref="I159:I160" si="95">F159-H159</f>
        <v>6059</v>
      </c>
    </row>
    <row r="160" spans="1:9" x14ac:dyDescent="0.2">
      <c r="A160" s="25"/>
      <c r="B160" s="60" t="s">
        <v>191</v>
      </c>
      <c r="C160" s="61" t="s">
        <v>192</v>
      </c>
      <c r="D160" s="34">
        <v>21710</v>
      </c>
      <c r="E160" s="28">
        <f>'Buget 2024'!D160</f>
        <v>23773</v>
      </c>
      <c r="F160" s="29">
        <f t="shared" si="94"/>
        <v>2063</v>
      </c>
      <c r="G160" s="21">
        <f t="shared" si="90"/>
        <v>9.5025333947489639</v>
      </c>
      <c r="H160" s="27">
        <v>-3996</v>
      </c>
      <c r="I160" s="27">
        <f t="shared" si="95"/>
        <v>6059</v>
      </c>
    </row>
    <row r="161" spans="1:9" x14ac:dyDescent="0.2">
      <c r="A161" s="22" t="s">
        <v>29</v>
      </c>
      <c r="B161" s="22" t="s">
        <v>48</v>
      </c>
      <c r="C161" s="63" t="s">
        <v>203</v>
      </c>
      <c r="D161" s="24"/>
      <c r="E161" s="24"/>
      <c r="F161" s="24"/>
      <c r="G161" s="21" t="e">
        <f t="shared" si="90"/>
        <v>#DIV/0!</v>
      </c>
      <c r="H161" s="24"/>
      <c r="I161" s="24"/>
    </row>
    <row r="162" spans="1:9" x14ac:dyDescent="0.2">
      <c r="A162" s="22"/>
      <c r="B162" s="22" t="s">
        <v>189</v>
      </c>
      <c r="C162" s="53" t="s">
        <v>190</v>
      </c>
      <c r="D162" s="24">
        <f>D165+D168+D171</f>
        <v>14192</v>
      </c>
      <c r="E162" s="24">
        <f t="shared" ref="E162:F162" si="96">E165+E168+E171</f>
        <v>14459</v>
      </c>
      <c r="F162" s="24">
        <f t="shared" si="96"/>
        <v>267</v>
      </c>
      <c r="G162" s="21">
        <f t="shared" si="90"/>
        <v>1.8813416009019166</v>
      </c>
      <c r="H162" s="24">
        <f>H165+H168+H171</f>
        <v>267</v>
      </c>
      <c r="I162" s="24">
        <f>I165+I168+I171</f>
        <v>0</v>
      </c>
    </row>
    <row r="163" spans="1:9" x14ac:dyDescent="0.2">
      <c r="A163" s="22"/>
      <c r="B163" s="22" t="s">
        <v>191</v>
      </c>
      <c r="C163" s="53" t="s">
        <v>192</v>
      </c>
      <c r="D163" s="24">
        <f>D166+D169+D172</f>
        <v>14192</v>
      </c>
      <c r="E163" s="24">
        <f t="shared" ref="E163:F163" si="97">E166+E169+E172</f>
        <v>14459</v>
      </c>
      <c r="F163" s="24">
        <f t="shared" si="97"/>
        <v>267</v>
      </c>
      <c r="G163" s="21">
        <f t="shared" si="90"/>
        <v>1.8813416009019166</v>
      </c>
      <c r="H163" s="24">
        <f>H166+H169+H172</f>
        <v>267</v>
      </c>
      <c r="I163" s="24">
        <f>I166+I169+I172</f>
        <v>0</v>
      </c>
    </row>
    <row r="164" spans="1:9" x14ac:dyDescent="0.2">
      <c r="A164" s="58" t="s">
        <v>29</v>
      </c>
      <c r="B164" s="58" t="s">
        <v>400</v>
      </c>
      <c r="C164" s="64" t="s">
        <v>401</v>
      </c>
      <c r="D164" s="65"/>
      <c r="E164" s="65"/>
      <c r="F164" s="65"/>
      <c r="G164" s="21" t="e">
        <f t="shared" ref="G164:G166" si="98">F164/D164*100</f>
        <v>#DIV/0!</v>
      </c>
      <c r="H164" s="65"/>
      <c r="I164" s="65"/>
    </row>
    <row r="165" spans="1:9" x14ac:dyDescent="0.2">
      <c r="A165" s="58"/>
      <c r="B165" s="58" t="s">
        <v>189</v>
      </c>
      <c r="C165" s="59" t="s">
        <v>190</v>
      </c>
      <c r="D165" s="34"/>
      <c r="E165" s="28">
        <f>'Buget 2024'!D165</f>
        <v>405</v>
      </c>
      <c r="F165" s="29">
        <f t="shared" ref="F165:F166" si="99">E165-D165</f>
        <v>405</v>
      </c>
      <c r="G165" s="21" t="e">
        <f t="shared" si="98"/>
        <v>#DIV/0!</v>
      </c>
      <c r="H165" s="27">
        <v>405</v>
      </c>
      <c r="I165" s="27">
        <f t="shared" ref="I165:I166" si="100">F165-H165</f>
        <v>0</v>
      </c>
    </row>
    <row r="166" spans="1:9" x14ac:dyDescent="0.2">
      <c r="A166" s="58"/>
      <c r="B166" s="60" t="s">
        <v>191</v>
      </c>
      <c r="C166" s="61" t="s">
        <v>192</v>
      </c>
      <c r="D166" s="34"/>
      <c r="E166" s="28">
        <f>'Buget 2024'!D166</f>
        <v>405</v>
      </c>
      <c r="F166" s="29">
        <f t="shared" si="99"/>
        <v>405</v>
      </c>
      <c r="G166" s="21" t="e">
        <f t="shared" si="98"/>
        <v>#DIV/0!</v>
      </c>
      <c r="H166" s="27">
        <v>405</v>
      </c>
      <c r="I166" s="27">
        <f t="shared" si="100"/>
        <v>0</v>
      </c>
    </row>
    <row r="167" spans="1:9" x14ac:dyDescent="0.2">
      <c r="A167" s="58" t="s">
        <v>29</v>
      </c>
      <c r="B167" s="58" t="s">
        <v>162</v>
      </c>
      <c r="C167" s="64" t="s">
        <v>163</v>
      </c>
      <c r="D167" s="65"/>
      <c r="E167" s="65"/>
      <c r="F167" s="65"/>
      <c r="G167" s="21" t="e">
        <f t="shared" si="90"/>
        <v>#DIV/0!</v>
      </c>
      <c r="H167" s="65"/>
      <c r="I167" s="65"/>
    </row>
    <row r="168" spans="1:9" x14ac:dyDescent="0.2">
      <c r="A168" s="58"/>
      <c r="B168" s="58" t="s">
        <v>189</v>
      </c>
      <c r="C168" s="59" t="s">
        <v>190</v>
      </c>
      <c r="D168" s="34">
        <v>13531</v>
      </c>
      <c r="E168" s="28">
        <f>'Buget 2024'!D168</f>
        <v>13448</v>
      </c>
      <c r="F168" s="29">
        <f t="shared" ref="F168:F169" si="101">E168-D168</f>
        <v>-83</v>
      </c>
      <c r="G168" s="21">
        <f t="shared" si="90"/>
        <v>-0.61340625230951151</v>
      </c>
      <c r="H168" s="27">
        <v>-83</v>
      </c>
      <c r="I168" s="27">
        <f t="shared" ref="I168:I169" si="102">F168-H168</f>
        <v>0</v>
      </c>
    </row>
    <row r="169" spans="1:9" x14ac:dyDescent="0.2">
      <c r="A169" s="58"/>
      <c r="B169" s="60" t="s">
        <v>191</v>
      </c>
      <c r="C169" s="61" t="s">
        <v>192</v>
      </c>
      <c r="D169" s="34">
        <v>13531</v>
      </c>
      <c r="E169" s="28">
        <f>'Buget 2024'!D169</f>
        <v>13448</v>
      </c>
      <c r="F169" s="29">
        <f t="shared" si="101"/>
        <v>-83</v>
      </c>
      <c r="G169" s="21">
        <f t="shared" si="90"/>
        <v>-0.61340625230951151</v>
      </c>
      <c r="H169" s="27">
        <v>-83</v>
      </c>
      <c r="I169" s="27">
        <f t="shared" si="102"/>
        <v>0</v>
      </c>
    </row>
    <row r="170" spans="1:9" x14ac:dyDescent="0.2">
      <c r="A170" s="58" t="s">
        <v>29</v>
      </c>
      <c r="B170" s="58" t="s">
        <v>323</v>
      </c>
      <c r="C170" s="62" t="s">
        <v>324</v>
      </c>
      <c r="D170" s="65"/>
      <c r="E170" s="65"/>
      <c r="F170" s="65"/>
      <c r="G170" s="21" t="e">
        <f t="shared" si="90"/>
        <v>#DIV/0!</v>
      </c>
      <c r="H170" s="65"/>
      <c r="I170" s="65"/>
    </row>
    <row r="171" spans="1:9" x14ac:dyDescent="0.2">
      <c r="A171" s="58"/>
      <c r="B171" s="58" t="s">
        <v>189</v>
      </c>
      <c r="C171" s="59" t="s">
        <v>190</v>
      </c>
      <c r="D171" s="34">
        <v>661</v>
      </c>
      <c r="E171" s="28">
        <f>'Buget 2024'!D171</f>
        <v>606</v>
      </c>
      <c r="F171" s="29">
        <f t="shared" ref="F171:F172" si="103">E171-D171</f>
        <v>-55</v>
      </c>
      <c r="G171" s="21">
        <f t="shared" si="90"/>
        <v>-8.3207261724659602</v>
      </c>
      <c r="H171" s="27">
        <v>-55</v>
      </c>
      <c r="I171" s="27">
        <f t="shared" ref="I171:I172" si="104">F171-H171</f>
        <v>0</v>
      </c>
    </row>
    <row r="172" spans="1:9" x14ac:dyDescent="0.2">
      <c r="A172" s="58"/>
      <c r="B172" s="60" t="s">
        <v>191</v>
      </c>
      <c r="C172" s="61" t="s">
        <v>192</v>
      </c>
      <c r="D172" s="34">
        <v>661</v>
      </c>
      <c r="E172" s="28">
        <f>'Buget 2024'!D172</f>
        <v>606</v>
      </c>
      <c r="F172" s="29">
        <f t="shared" si="103"/>
        <v>-55</v>
      </c>
      <c r="G172" s="21">
        <f t="shared" si="90"/>
        <v>-8.3207261724659602</v>
      </c>
      <c r="H172" s="27">
        <v>-55</v>
      </c>
      <c r="I172" s="27">
        <f t="shared" si="104"/>
        <v>0</v>
      </c>
    </row>
    <row r="173" spans="1:9" x14ac:dyDescent="0.2">
      <c r="A173" s="22" t="s">
        <v>29</v>
      </c>
      <c r="B173" s="22" t="s">
        <v>49</v>
      </c>
      <c r="C173" s="53" t="s">
        <v>204</v>
      </c>
      <c r="D173" s="66"/>
      <c r="E173" s="66"/>
      <c r="F173" s="66"/>
      <c r="G173" s="21" t="e">
        <f t="shared" si="90"/>
        <v>#DIV/0!</v>
      </c>
      <c r="H173" s="66"/>
      <c r="I173" s="66"/>
    </row>
    <row r="174" spans="1:9" x14ac:dyDescent="0.2">
      <c r="A174" s="22"/>
      <c r="B174" s="22" t="s">
        <v>189</v>
      </c>
      <c r="C174" s="53" t="s">
        <v>190</v>
      </c>
      <c r="D174" s="66">
        <f t="shared" ref="D174" si="105">D177+D180+D183+D186+D189+D192+D195+D198</f>
        <v>22290</v>
      </c>
      <c r="E174" s="66">
        <f t="shared" ref="E174:F175" si="106">E177+E180+E183+E186+E189+E192+E195+E198</f>
        <v>22859</v>
      </c>
      <c r="F174" s="66">
        <f t="shared" si="106"/>
        <v>569</v>
      </c>
      <c r="G174" s="21">
        <f t="shared" si="90"/>
        <v>2.5527142216240466</v>
      </c>
      <c r="H174" s="66">
        <f t="shared" ref="H174:I174" si="107">H177+H180+H183+H186+H189+H192+H195+H198</f>
        <v>-172</v>
      </c>
      <c r="I174" s="66">
        <f t="shared" si="107"/>
        <v>741</v>
      </c>
    </row>
    <row r="175" spans="1:9" x14ac:dyDescent="0.2">
      <c r="A175" s="22"/>
      <c r="B175" s="22" t="s">
        <v>191</v>
      </c>
      <c r="C175" s="53" t="s">
        <v>192</v>
      </c>
      <c r="D175" s="66">
        <f>D178+D181+D184+D187+D190+D193+D196+D199</f>
        <v>22290</v>
      </c>
      <c r="E175" s="66">
        <f t="shared" si="106"/>
        <v>22859</v>
      </c>
      <c r="F175" s="66">
        <f t="shared" si="106"/>
        <v>569</v>
      </c>
      <c r="G175" s="21">
        <f t="shared" si="90"/>
        <v>2.5527142216240466</v>
      </c>
      <c r="H175" s="66">
        <f>H178+H181+H184+H187+H190+H193+H196+H199</f>
        <v>-172</v>
      </c>
      <c r="I175" s="66">
        <f>I178+I181+I184+I187+I190+I193+I196+I199</f>
        <v>741</v>
      </c>
    </row>
    <row r="176" spans="1:9" x14ac:dyDescent="0.2">
      <c r="A176" s="32" t="s">
        <v>29</v>
      </c>
      <c r="B176" s="32" t="s">
        <v>50</v>
      </c>
      <c r="C176" s="67" t="s">
        <v>205</v>
      </c>
      <c r="D176" s="68"/>
      <c r="E176" s="68"/>
      <c r="F176" s="68"/>
      <c r="G176" s="21" t="e">
        <f t="shared" si="90"/>
        <v>#DIV/0!</v>
      </c>
      <c r="H176" s="68"/>
      <c r="I176" s="68"/>
    </row>
    <row r="177" spans="1:9" x14ac:dyDescent="0.2">
      <c r="A177" s="32"/>
      <c r="B177" s="58" t="s">
        <v>189</v>
      </c>
      <c r="C177" s="59" t="s">
        <v>190</v>
      </c>
      <c r="D177" s="34">
        <v>1106</v>
      </c>
      <c r="E177" s="28">
        <f>'Buget 2024'!D177</f>
        <v>1615</v>
      </c>
      <c r="F177" s="29">
        <f t="shared" ref="F177:F178" si="108">E177-D177</f>
        <v>509</v>
      </c>
      <c r="G177" s="21">
        <f t="shared" si="90"/>
        <v>46.02169981916817</v>
      </c>
      <c r="H177" s="27">
        <v>37</v>
      </c>
      <c r="I177" s="27">
        <f t="shared" ref="I177:I178" si="109">F177-H177</f>
        <v>472</v>
      </c>
    </row>
    <row r="178" spans="1:9" x14ac:dyDescent="0.2">
      <c r="A178" s="32"/>
      <c r="B178" s="60" t="s">
        <v>191</v>
      </c>
      <c r="C178" s="61" t="s">
        <v>192</v>
      </c>
      <c r="D178" s="34">
        <v>1106</v>
      </c>
      <c r="E178" s="28">
        <f>'Buget 2024'!D178</f>
        <v>1615</v>
      </c>
      <c r="F178" s="29">
        <f t="shared" si="108"/>
        <v>509</v>
      </c>
      <c r="G178" s="21">
        <f t="shared" si="90"/>
        <v>46.02169981916817</v>
      </c>
      <c r="H178" s="27">
        <v>37</v>
      </c>
      <c r="I178" s="27">
        <f t="shared" si="109"/>
        <v>472</v>
      </c>
    </row>
    <row r="179" spans="1:9" x14ac:dyDescent="0.2">
      <c r="A179" s="32" t="s">
        <v>29</v>
      </c>
      <c r="B179" s="32" t="s">
        <v>51</v>
      </c>
      <c r="C179" s="33" t="s">
        <v>52</v>
      </c>
      <c r="D179" s="34"/>
      <c r="E179" s="35"/>
      <c r="F179" s="35"/>
      <c r="G179" s="21" t="e">
        <f t="shared" si="90"/>
        <v>#DIV/0!</v>
      </c>
      <c r="H179" s="34"/>
      <c r="I179" s="34"/>
    </row>
    <row r="180" spans="1:9" x14ac:dyDescent="0.2">
      <c r="A180" s="32"/>
      <c r="B180" s="58" t="s">
        <v>189</v>
      </c>
      <c r="C180" s="59" t="s">
        <v>190</v>
      </c>
      <c r="D180" s="34">
        <v>40</v>
      </c>
      <c r="E180" s="28">
        <f>'Buget 2024'!D180</f>
        <v>57</v>
      </c>
      <c r="F180" s="29">
        <f t="shared" ref="F180:F181" si="110">E180-D180</f>
        <v>17</v>
      </c>
      <c r="G180" s="21">
        <f t="shared" si="90"/>
        <v>42.5</v>
      </c>
      <c r="H180" s="27">
        <v>3</v>
      </c>
      <c r="I180" s="27">
        <f t="shared" ref="I180:I181" si="111">F180-H180</f>
        <v>14</v>
      </c>
    </row>
    <row r="181" spans="1:9" x14ac:dyDescent="0.2">
      <c r="A181" s="32"/>
      <c r="B181" s="60" t="s">
        <v>191</v>
      </c>
      <c r="C181" s="61" t="s">
        <v>192</v>
      </c>
      <c r="D181" s="34">
        <v>40</v>
      </c>
      <c r="E181" s="28">
        <f>'Buget 2024'!D181</f>
        <v>57</v>
      </c>
      <c r="F181" s="29">
        <f t="shared" si="110"/>
        <v>17</v>
      </c>
      <c r="G181" s="21">
        <f t="shared" si="90"/>
        <v>42.5</v>
      </c>
      <c r="H181" s="27">
        <v>3</v>
      </c>
      <c r="I181" s="27">
        <f t="shared" si="111"/>
        <v>14</v>
      </c>
    </row>
    <row r="182" spans="1:9" x14ac:dyDescent="0.2">
      <c r="A182" s="32" t="s">
        <v>29</v>
      </c>
      <c r="B182" s="32" t="s">
        <v>53</v>
      </c>
      <c r="C182" s="33" t="s">
        <v>54</v>
      </c>
      <c r="D182" s="34"/>
      <c r="E182" s="35"/>
      <c r="F182" s="35"/>
      <c r="G182" s="21" t="e">
        <f t="shared" si="90"/>
        <v>#DIV/0!</v>
      </c>
      <c r="H182" s="34"/>
      <c r="I182" s="34"/>
    </row>
    <row r="183" spans="1:9" x14ac:dyDescent="0.2">
      <c r="A183" s="32"/>
      <c r="B183" s="58" t="s">
        <v>189</v>
      </c>
      <c r="C183" s="59" t="s">
        <v>190</v>
      </c>
      <c r="D183" s="34">
        <v>344</v>
      </c>
      <c r="E183" s="28">
        <f>'Buget 2024'!D183</f>
        <v>514</v>
      </c>
      <c r="F183" s="29">
        <f t="shared" ref="F183:F184" si="112">E183-D183</f>
        <v>170</v>
      </c>
      <c r="G183" s="21">
        <f t="shared" si="90"/>
        <v>49.418604651162788</v>
      </c>
      <c r="H183" s="27">
        <v>15</v>
      </c>
      <c r="I183" s="27">
        <f t="shared" ref="I183:I184" si="113">F183-H183</f>
        <v>155</v>
      </c>
    </row>
    <row r="184" spans="1:9" x14ac:dyDescent="0.2">
      <c r="A184" s="32"/>
      <c r="B184" s="60" t="s">
        <v>191</v>
      </c>
      <c r="C184" s="61" t="s">
        <v>192</v>
      </c>
      <c r="D184" s="34">
        <v>344</v>
      </c>
      <c r="E184" s="28">
        <f>'Buget 2024'!D184</f>
        <v>514</v>
      </c>
      <c r="F184" s="29">
        <f t="shared" si="112"/>
        <v>170</v>
      </c>
      <c r="G184" s="21">
        <f t="shared" si="90"/>
        <v>49.418604651162788</v>
      </c>
      <c r="H184" s="27">
        <v>15</v>
      </c>
      <c r="I184" s="27">
        <f t="shared" si="113"/>
        <v>155</v>
      </c>
    </row>
    <row r="185" spans="1:9" ht="25.5" x14ac:dyDescent="0.2">
      <c r="A185" s="32" t="s">
        <v>29</v>
      </c>
      <c r="B185" s="32" t="s">
        <v>55</v>
      </c>
      <c r="C185" s="33" t="s">
        <v>206</v>
      </c>
      <c r="D185" s="34"/>
      <c r="E185" s="35"/>
      <c r="F185" s="35"/>
      <c r="G185" s="21" t="e">
        <f t="shared" si="90"/>
        <v>#DIV/0!</v>
      </c>
      <c r="H185" s="34"/>
      <c r="I185" s="34"/>
    </row>
    <row r="186" spans="1:9" x14ac:dyDescent="0.2">
      <c r="A186" s="32"/>
      <c r="B186" s="58" t="s">
        <v>189</v>
      </c>
      <c r="C186" s="59" t="s">
        <v>190</v>
      </c>
      <c r="D186" s="34">
        <v>22</v>
      </c>
      <c r="E186" s="28">
        <f>'Buget 2024'!D186</f>
        <v>30</v>
      </c>
      <c r="F186" s="29">
        <f t="shared" ref="F186:F187" si="114">E186-D186</f>
        <v>8</v>
      </c>
      <c r="G186" s="21">
        <f t="shared" si="90"/>
        <v>36.363636363636367</v>
      </c>
      <c r="H186" s="27">
        <v>2</v>
      </c>
      <c r="I186" s="27">
        <f t="shared" ref="I186:I187" si="115">F186-H186</f>
        <v>6</v>
      </c>
    </row>
    <row r="187" spans="1:9" x14ac:dyDescent="0.2">
      <c r="A187" s="32"/>
      <c r="B187" s="60" t="s">
        <v>191</v>
      </c>
      <c r="C187" s="61" t="s">
        <v>192</v>
      </c>
      <c r="D187" s="34">
        <v>22</v>
      </c>
      <c r="E187" s="28">
        <f>'Buget 2024'!D187</f>
        <v>30</v>
      </c>
      <c r="F187" s="29">
        <f t="shared" si="114"/>
        <v>8</v>
      </c>
      <c r="G187" s="21">
        <f t="shared" si="90"/>
        <v>36.363636363636367</v>
      </c>
      <c r="H187" s="27">
        <v>2</v>
      </c>
      <c r="I187" s="27">
        <f t="shared" si="115"/>
        <v>6</v>
      </c>
    </row>
    <row r="188" spans="1:9" hidden="1" x14ac:dyDescent="0.2">
      <c r="A188" s="32" t="s">
        <v>29</v>
      </c>
      <c r="B188" s="32" t="s">
        <v>164</v>
      </c>
      <c r="C188" s="33" t="s">
        <v>165</v>
      </c>
      <c r="D188" s="34"/>
      <c r="E188" s="35"/>
      <c r="F188" s="35"/>
      <c r="G188" s="21" t="e">
        <f t="shared" si="90"/>
        <v>#DIV/0!</v>
      </c>
      <c r="H188" s="34"/>
      <c r="I188" s="34"/>
    </row>
    <row r="189" spans="1:9" hidden="1" x14ac:dyDescent="0.2">
      <c r="A189" s="32"/>
      <c r="B189" s="58" t="s">
        <v>189</v>
      </c>
      <c r="C189" s="59" t="s">
        <v>190</v>
      </c>
      <c r="D189" s="34">
        <v>0</v>
      </c>
      <c r="E189" s="35">
        <v>0</v>
      </c>
      <c r="F189" s="35">
        <v>0</v>
      </c>
      <c r="G189" s="21" t="e">
        <f t="shared" si="90"/>
        <v>#DIV/0!</v>
      </c>
      <c r="H189" s="34">
        <v>0</v>
      </c>
      <c r="I189" s="34">
        <v>0</v>
      </c>
    </row>
    <row r="190" spans="1:9" hidden="1" x14ac:dyDescent="0.2">
      <c r="A190" s="32"/>
      <c r="B190" s="60" t="s">
        <v>191</v>
      </c>
      <c r="C190" s="61" t="s">
        <v>192</v>
      </c>
      <c r="D190" s="34">
        <v>0</v>
      </c>
      <c r="E190" s="35">
        <v>0</v>
      </c>
      <c r="F190" s="35">
        <v>0</v>
      </c>
      <c r="G190" s="21" t="e">
        <f t="shared" si="90"/>
        <v>#DIV/0!</v>
      </c>
      <c r="H190" s="34">
        <v>0</v>
      </c>
      <c r="I190" s="34">
        <v>0</v>
      </c>
    </row>
    <row r="191" spans="1:9" x14ac:dyDescent="0.2">
      <c r="A191" s="32" t="s">
        <v>29</v>
      </c>
      <c r="B191" s="32" t="s">
        <v>56</v>
      </c>
      <c r="C191" s="33" t="s">
        <v>207</v>
      </c>
      <c r="D191" s="34"/>
      <c r="E191" s="35"/>
      <c r="F191" s="35"/>
      <c r="G191" s="21" t="e">
        <f t="shared" si="90"/>
        <v>#DIV/0!</v>
      </c>
      <c r="H191" s="34"/>
      <c r="I191" s="34"/>
    </row>
    <row r="192" spans="1:9" x14ac:dyDescent="0.2">
      <c r="A192" s="32"/>
      <c r="B192" s="58" t="s">
        <v>189</v>
      </c>
      <c r="C192" s="59" t="s">
        <v>190</v>
      </c>
      <c r="D192" s="34">
        <v>33</v>
      </c>
      <c r="E192" s="28">
        <f>'Buget 2024'!D192</f>
        <v>61</v>
      </c>
      <c r="F192" s="29">
        <f t="shared" ref="F192:F193" si="116">E192-D192</f>
        <v>28</v>
      </c>
      <c r="G192" s="21">
        <f t="shared" si="90"/>
        <v>84.848484848484844</v>
      </c>
      <c r="H192" s="27">
        <v>2</v>
      </c>
      <c r="I192" s="27">
        <f t="shared" ref="I192:I193" si="117">F192-H192</f>
        <v>26</v>
      </c>
    </row>
    <row r="193" spans="1:9" x14ac:dyDescent="0.2">
      <c r="A193" s="32"/>
      <c r="B193" s="60" t="s">
        <v>191</v>
      </c>
      <c r="C193" s="61" t="s">
        <v>192</v>
      </c>
      <c r="D193" s="34">
        <v>33</v>
      </c>
      <c r="E193" s="28">
        <f>'Buget 2024'!D193</f>
        <v>61</v>
      </c>
      <c r="F193" s="29">
        <f t="shared" si="116"/>
        <v>28</v>
      </c>
      <c r="G193" s="21">
        <f t="shared" si="90"/>
        <v>84.848484848484844</v>
      </c>
      <c r="H193" s="27">
        <v>2</v>
      </c>
      <c r="I193" s="27">
        <f t="shared" si="117"/>
        <v>26</v>
      </c>
    </row>
    <row r="194" spans="1:9" x14ac:dyDescent="0.2">
      <c r="A194" s="58" t="s">
        <v>29</v>
      </c>
      <c r="B194" s="58" t="s">
        <v>160</v>
      </c>
      <c r="C194" s="69" t="s">
        <v>161</v>
      </c>
      <c r="D194" s="70"/>
      <c r="E194" s="71"/>
      <c r="F194" s="71"/>
      <c r="G194" s="21" t="e">
        <f t="shared" si="90"/>
        <v>#DIV/0!</v>
      </c>
      <c r="H194" s="70"/>
      <c r="I194" s="70"/>
    </row>
    <row r="195" spans="1:9" x14ac:dyDescent="0.2">
      <c r="A195" s="58"/>
      <c r="B195" s="58" t="s">
        <v>189</v>
      </c>
      <c r="C195" s="59" t="s">
        <v>190</v>
      </c>
      <c r="D195" s="34">
        <v>20380</v>
      </c>
      <c r="E195" s="28">
        <f>'Buget 2024'!D195</f>
        <v>20278</v>
      </c>
      <c r="F195" s="29">
        <f t="shared" ref="F195:F196" si="118">E195-D195</f>
        <v>-102</v>
      </c>
      <c r="G195" s="21">
        <f t="shared" si="90"/>
        <v>-0.50049067713444551</v>
      </c>
      <c r="H195" s="27">
        <v>-170</v>
      </c>
      <c r="I195" s="27">
        <f t="shared" ref="I195:I196" si="119">F195-H195</f>
        <v>68</v>
      </c>
    </row>
    <row r="196" spans="1:9" x14ac:dyDescent="0.2">
      <c r="A196" s="58"/>
      <c r="B196" s="60" t="s">
        <v>191</v>
      </c>
      <c r="C196" s="61" t="s">
        <v>192</v>
      </c>
      <c r="D196" s="34">
        <v>20380</v>
      </c>
      <c r="E196" s="28">
        <f>'Buget 2024'!D196</f>
        <v>20278</v>
      </c>
      <c r="F196" s="29">
        <f t="shared" si="118"/>
        <v>-102</v>
      </c>
      <c r="G196" s="21">
        <f t="shared" si="90"/>
        <v>-0.50049067713444551</v>
      </c>
      <c r="H196" s="27">
        <v>-170</v>
      </c>
      <c r="I196" s="27">
        <f t="shared" si="119"/>
        <v>68</v>
      </c>
    </row>
    <row r="197" spans="1:9" x14ac:dyDescent="0.2">
      <c r="A197" s="58" t="s">
        <v>29</v>
      </c>
      <c r="B197" s="58" t="s">
        <v>166</v>
      </c>
      <c r="C197" s="69" t="s">
        <v>167</v>
      </c>
      <c r="D197" s="71"/>
      <c r="E197" s="71"/>
      <c r="F197" s="71"/>
      <c r="G197" s="21" t="e">
        <f t="shared" si="90"/>
        <v>#DIV/0!</v>
      </c>
      <c r="H197" s="71"/>
      <c r="I197" s="71"/>
    </row>
    <row r="198" spans="1:9" x14ac:dyDescent="0.2">
      <c r="A198" s="58"/>
      <c r="B198" s="58" t="s">
        <v>189</v>
      </c>
      <c r="C198" s="59" t="s">
        <v>190</v>
      </c>
      <c r="D198" s="35">
        <v>365</v>
      </c>
      <c r="E198" s="28">
        <f>'Buget 2024'!D198</f>
        <v>304</v>
      </c>
      <c r="F198" s="29">
        <f t="shared" ref="F198:F199" si="120">E198-D198</f>
        <v>-61</v>
      </c>
      <c r="G198" s="21">
        <f t="shared" si="90"/>
        <v>-16.712328767123289</v>
      </c>
      <c r="H198" s="27">
        <v>-61</v>
      </c>
      <c r="I198" s="27">
        <f t="shared" ref="I198:I199" si="121">F198-H198</f>
        <v>0</v>
      </c>
    </row>
    <row r="199" spans="1:9" x14ac:dyDescent="0.2">
      <c r="A199" s="58"/>
      <c r="B199" s="60" t="s">
        <v>191</v>
      </c>
      <c r="C199" s="61" t="s">
        <v>192</v>
      </c>
      <c r="D199" s="35">
        <v>365</v>
      </c>
      <c r="E199" s="28">
        <f>'Buget 2024'!D199</f>
        <v>304</v>
      </c>
      <c r="F199" s="29">
        <f t="shared" si="120"/>
        <v>-61</v>
      </c>
      <c r="G199" s="21">
        <f t="shared" si="90"/>
        <v>-16.712328767123289</v>
      </c>
      <c r="H199" s="27">
        <v>-61</v>
      </c>
      <c r="I199" s="27">
        <f t="shared" si="121"/>
        <v>0</v>
      </c>
    </row>
    <row r="200" spans="1:9" x14ac:dyDescent="0.2">
      <c r="A200" s="22" t="s">
        <v>29</v>
      </c>
      <c r="B200" s="72">
        <v>20</v>
      </c>
      <c r="C200" s="53" t="s">
        <v>208</v>
      </c>
      <c r="D200" s="66"/>
      <c r="E200" s="66"/>
      <c r="F200" s="66"/>
      <c r="G200" s="21" t="e">
        <f t="shared" si="90"/>
        <v>#DIV/0!</v>
      </c>
      <c r="H200" s="66"/>
      <c r="I200" s="66"/>
    </row>
    <row r="201" spans="1:9" x14ac:dyDescent="0.2">
      <c r="A201" s="22"/>
      <c r="B201" s="22" t="s">
        <v>189</v>
      </c>
      <c r="C201" s="53" t="s">
        <v>190</v>
      </c>
      <c r="D201" s="66">
        <f t="shared" ref="D201" si="122">D204+D240+D237+D246+D261+D273+D282+D285+D288+D291+D294+D297+D300+D303+D306+D312+D315</f>
        <v>531553</v>
      </c>
      <c r="E201" s="66">
        <f t="shared" ref="E201:F202" si="123">E204+E240+E237+E246+E261+E273+E282+E285+E288+E291+E294+E297+E300+E303+E306+E312+E315</f>
        <v>504901</v>
      </c>
      <c r="F201" s="66">
        <f>F204+F240+F237+F246+F261+F273+F282+F285+F288+F291+F294+F297+F300+F303+F306+F312+F315</f>
        <v>-26652</v>
      </c>
      <c r="G201" s="21">
        <f t="shared" si="90"/>
        <v>-5.013987316410593</v>
      </c>
      <c r="H201" s="66">
        <f t="shared" ref="H201:I201" si="124">H204+H240+H237+H246+H261+H273+H282+H285+H288+H291+H294+H297+H300+H303+H306+H312+H315</f>
        <v>0</v>
      </c>
      <c r="I201" s="66">
        <f t="shared" si="124"/>
        <v>-26652</v>
      </c>
    </row>
    <row r="202" spans="1:9" x14ac:dyDescent="0.2">
      <c r="A202" s="22"/>
      <c r="B202" s="22" t="s">
        <v>191</v>
      </c>
      <c r="C202" s="53" t="s">
        <v>192</v>
      </c>
      <c r="D202" s="66">
        <f>D205+D241+D238+D247+D262+D274+D283+D286+D289+D292+D295+D298+D301+D304+D307+D313+D316</f>
        <v>531553</v>
      </c>
      <c r="E202" s="66">
        <f t="shared" si="123"/>
        <v>504901</v>
      </c>
      <c r="F202" s="66">
        <f t="shared" si="123"/>
        <v>-26652</v>
      </c>
      <c r="G202" s="21">
        <f t="shared" si="90"/>
        <v>-5.013987316410593</v>
      </c>
      <c r="H202" s="66">
        <f>H205+H241+H238+H247+H262+H274+H283+H286+H289+H292+H295+H298+H301+H304+H307+H313+H316</f>
        <v>0</v>
      </c>
      <c r="I202" s="66">
        <f>I205+I241+I238+I247+I262+I274+I283+I286+I289+I292+I295+I298+I301+I304+I307+I313+I316</f>
        <v>-26652</v>
      </c>
    </row>
    <row r="203" spans="1:9" x14ac:dyDescent="0.2">
      <c r="A203" s="22" t="s">
        <v>29</v>
      </c>
      <c r="B203" s="72" t="s">
        <v>57</v>
      </c>
      <c r="C203" s="23" t="s">
        <v>209</v>
      </c>
      <c r="D203" s="24"/>
      <c r="E203" s="24"/>
      <c r="F203" s="24"/>
      <c r="G203" s="21" t="e">
        <f t="shared" si="90"/>
        <v>#DIV/0!</v>
      </c>
      <c r="H203" s="24"/>
      <c r="I203" s="24"/>
    </row>
    <row r="204" spans="1:9" x14ac:dyDescent="0.2">
      <c r="A204" s="22"/>
      <c r="B204" s="22" t="s">
        <v>189</v>
      </c>
      <c r="C204" s="53" t="s">
        <v>190</v>
      </c>
      <c r="D204" s="24">
        <f t="shared" ref="D204:D205" si="125">D207+D210+D213+D216+D219+D222+D225+D228+D231+D234</f>
        <v>166406</v>
      </c>
      <c r="E204" s="24">
        <f t="shared" ref="E204:F205" si="126">E207+E210+E213+E216+E219+E222+E225+E228+E231+E234</f>
        <v>170934</v>
      </c>
      <c r="F204" s="24">
        <f t="shared" si="126"/>
        <v>4528</v>
      </c>
      <c r="G204" s="21">
        <f t="shared" si="90"/>
        <v>2.7210557311635397</v>
      </c>
      <c r="H204" s="24">
        <f t="shared" ref="H204:I205" si="127">H207+H210+H213+H216+H219+H222+H225+H228+H231+H234</f>
        <v>2227</v>
      </c>
      <c r="I204" s="24">
        <f t="shared" si="127"/>
        <v>2301</v>
      </c>
    </row>
    <row r="205" spans="1:9" x14ac:dyDescent="0.2">
      <c r="A205" s="22"/>
      <c r="B205" s="22" t="s">
        <v>191</v>
      </c>
      <c r="C205" s="53" t="s">
        <v>192</v>
      </c>
      <c r="D205" s="24">
        <f t="shared" si="125"/>
        <v>166406</v>
      </c>
      <c r="E205" s="24">
        <f t="shared" si="126"/>
        <v>170934</v>
      </c>
      <c r="F205" s="24">
        <f t="shared" si="126"/>
        <v>4528</v>
      </c>
      <c r="G205" s="21">
        <f t="shared" si="90"/>
        <v>2.7210557311635397</v>
      </c>
      <c r="H205" s="24">
        <f t="shared" si="127"/>
        <v>2227</v>
      </c>
      <c r="I205" s="24">
        <f t="shared" si="127"/>
        <v>2301</v>
      </c>
    </row>
    <row r="206" spans="1:9" x14ac:dyDescent="0.2">
      <c r="A206" s="32" t="s">
        <v>29</v>
      </c>
      <c r="B206" s="73" t="s">
        <v>58</v>
      </c>
      <c r="C206" s="33" t="s">
        <v>59</v>
      </c>
      <c r="D206" s="74"/>
      <c r="E206" s="74"/>
      <c r="F206" s="74"/>
      <c r="G206" s="21" t="e">
        <f t="shared" si="90"/>
        <v>#DIV/0!</v>
      </c>
      <c r="H206" s="74"/>
      <c r="I206" s="74"/>
    </row>
    <row r="207" spans="1:9" x14ac:dyDescent="0.2">
      <c r="A207" s="32"/>
      <c r="B207" s="58" t="s">
        <v>189</v>
      </c>
      <c r="C207" s="59" t="s">
        <v>190</v>
      </c>
      <c r="D207" s="34">
        <v>1964</v>
      </c>
      <c r="E207" s="28">
        <f>'Buget 2024'!D207</f>
        <v>2139</v>
      </c>
      <c r="F207" s="29">
        <f t="shared" ref="F207:F208" si="128">E207-D207</f>
        <v>175</v>
      </c>
      <c r="G207" s="21">
        <f t="shared" si="90"/>
        <v>8.910386965376782</v>
      </c>
      <c r="H207" s="27">
        <v>111</v>
      </c>
      <c r="I207" s="27">
        <f t="shared" ref="I207:I208" si="129">F207-H207</f>
        <v>64</v>
      </c>
    </row>
    <row r="208" spans="1:9" x14ac:dyDescent="0.2">
      <c r="A208" s="32"/>
      <c r="B208" s="60" t="s">
        <v>191</v>
      </c>
      <c r="C208" s="61" t="s">
        <v>192</v>
      </c>
      <c r="D208" s="34">
        <v>1964</v>
      </c>
      <c r="E208" s="28">
        <f>'Buget 2024'!D208</f>
        <v>2139</v>
      </c>
      <c r="F208" s="29">
        <f t="shared" si="128"/>
        <v>175</v>
      </c>
      <c r="G208" s="21">
        <f t="shared" si="90"/>
        <v>8.910386965376782</v>
      </c>
      <c r="H208" s="27">
        <v>111</v>
      </c>
      <c r="I208" s="27">
        <f t="shared" si="129"/>
        <v>64</v>
      </c>
    </row>
    <row r="209" spans="1:9" x14ac:dyDescent="0.2">
      <c r="A209" s="32" t="s">
        <v>29</v>
      </c>
      <c r="B209" s="73" t="s">
        <v>60</v>
      </c>
      <c r="C209" s="33" t="s">
        <v>210</v>
      </c>
      <c r="D209" s="75"/>
      <c r="E209" s="74"/>
      <c r="F209" s="74"/>
      <c r="G209" s="21" t="e">
        <f t="shared" si="90"/>
        <v>#DIV/0!</v>
      </c>
      <c r="H209" s="75"/>
      <c r="I209" s="75"/>
    </row>
    <row r="210" spans="1:9" x14ac:dyDescent="0.2">
      <c r="A210" s="32"/>
      <c r="B210" s="58" t="s">
        <v>189</v>
      </c>
      <c r="C210" s="59" t="s">
        <v>190</v>
      </c>
      <c r="D210" s="34">
        <v>1104</v>
      </c>
      <c r="E210" s="28">
        <f>'Buget 2024'!D210</f>
        <v>1187</v>
      </c>
      <c r="F210" s="29">
        <f t="shared" ref="F210:F211" si="130">E210-D210</f>
        <v>83</v>
      </c>
      <c r="G210" s="21">
        <f t="shared" si="90"/>
        <v>7.5181159420289854</v>
      </c>
      <c r="H210" s="27">
        <v>82</v>
      </c>
      <c r="I210" s="27">
        <f t="shared" ref="I210:I211" si="131">F210-H210</f>
        <v>1</v>
      </c>
    </row>
    <row r="211" spans="1:9" x14ac:dyDescent="0.2">
      <c r="A211" s="32"/>
      <c r="B211" s="60" t="s">
        <v>191</v>
      </c>
      <c r="C211" s="61" t="s">
        <v>192</v>
      </c>
      <c r="D211" s="34">
        <v>1104</v>
      </c>
      <c r="E211" s="28">
        <f>'Buget 2024'!D211</f>
        <v>1187</v>
      </c>
      <c r="F211" s="29">
        <f t="shared" si="130"/>
        <v>83</v>
      </c>
      <c r="G211" s="21">
        <f t="shared" si="90"/>
        <v>7.5181159420289854</v>
      </c>
      <c r="H211" s="27">
        <v>82</v>
      </c>
      <c r="I211" s="27">
        <f t="shared" si="131"/>
        <v>1</v>
      </c>
    </row>
    <row r="212" spans="1:9" x14ac:dyDescent="0.2">
      <c r="A212" s="32" t="s">
        <v>29</v>
      </c>
      <c r="B212" s="73" t="s">
        <v>61</v>
      </c>
      <c r="C212" s="33" t="s">
        <v>211</v>
      </c>
      <c r="D212" s="75"/>
      <c r="E212" s="74"/>
      <c r="F212" s="74"/>
      <c r="G212" s="21" t="e">
        <f t="shared" si="90"/>
        <v>#DIV/0!</v>
      </c>
      <c r="H212" s="75"/>
      <c r="I212" s="75"/>
    </row>
    <row r="213" spans="1:9" x14ac:dyDescent="0.2">
      <c r="A213" s="32"/>
      <c r="B213" s="58" t="s">
        <v>189</v>
      </c>
      <c r="C213" s="59" t="s">
        <v>190</v>
      </c>
      <c r="D213" s="34">
        <v>38985</v>
      </c>
      <c r="E213" s="28">
        <f>'Buget 2024'!D213</f>
        <v>40258</v>
      </c>
      <c r="F213" s="29">
        <f t="shared" ref="F213:F214" si="132">E213-D213</f>
        <v>1273</v>
      </c>
      <c r="G213" s="21">
        <f t="shared" si="90"/>
        <v>3.2653584712068744</v>
      </c>
      <c r="H213" s="27">
        <v>-677</v>
      </c>
      <c r="I213" s="27">
        <f t="shared" ref="I213:I214" si="133">F213-H213</f>
        <v>1950</v>
      </c>
    </row>
    <row r="214" spans="1:9" x14ac:dyDescent="0.2">
      <c r="A214" s="32"/>
      <c r="B214" s="60" t="s">
        <v>191</v>
      </c>
      <c r="C214" s="61" t="s">
        <v>192</v>
      </c>
      <c r="D214" s="34">
        <v>38985</v>
      </c>
      <c r="E214" s="28">
        <f>'Buget 2024'!D214</f>
        <v>40258</v>
      </c>
      <c r="F214" s="29">
        <f t="shared" si="132"/>
        <v>1273</v>
      </c>
      <c r="G214" s="21">
        <f t="shared" si="90"/>
        <v>3.2653584712068744</v>
      </c>
      <c r="H214" s="27">
        <v>-677</v>
      </c>
      <c r="I214" s="27">
        <f t="shared" si="133"/>
        <v>1950</v>
      </c>
    </row>
    <row r="215" spans="1:9" x14ac:dyDescent="0.2">
      <c r="A215" s="32" t="s">
        <v>29</v>
      </c>
      <c r="B215" s="73" t="s">
        <v>62</v>
      </c>
      <c r="C215" s="33" t="s">
        <v>212</v>
      </c>
      <c r="D215" s="75"/>
      <c r="E215" s="74"/>
      <c r="F215" s="74"/>
      <c r="G215" s="21" t="e">
        <f t="shared" si="90"/>
        <v>#DIV/0!</v>
      </c>
      <c r="H215" s="75"/>
      <c r="I215" s="75"/>
    </row>
    <row r="216" spans="1:9" x14ac:dyDescent="0.2">
      <c r="A216" s="32"/>
      <c r="B216" s="58" t="s">
        <v>189</v>
      </c>
      <c r="C216" s="59" t="s">
        <v>190</v>
      </c>
      <c r="D216" s="34">
        <v>2257</v>
      </c>
      <c r="E216" s="28">
        <f>'Buget 2024'!D216</f>
        <v>2581</v>
      </c>
      <c r="F216" s="29">
        <f t="shared" ref="F216:F217" si="134">E216-D216</f>
        <v>324</v>
      </c>
      <c r="G216" s="21">
        <f t="shared" si="90"/>
        <v>14.355338945502879</v>
      </c>
      <c r="H216" s="27">
        <v>319</v>
      </c>
      <c r="I216" s="27">
        <f t="shared" ref="I216:I217" si="135">F216-H216</f>
        <v>5</v>
      </c>
    </row>
    <row r="217" spans="1:9" x14ac:dyDescent="0.2">
      <c r="A217" s="32"/>
      <c r="B217" s="60" t="s">
        <v>191</v>
      </c>
      <c r="C217" s="61" t="s">
        <v>192</v>
      </c>
      <c r="D217" s="34">
        <v>2257</v>
      </c>
      <c r="E217" s="28">
        <f>'Buget 2024'!D217</f>
        <v>2581</v>
      </c>
      <c r="F217" s="29">
        <f t="shared" si="134"/>
        <v>324</v>
      </c>
      <c r="G217" s="21">
        <f t="shared" ref="G217:G280" si="136">F217/D217*100</f>
        <v>14.355338945502879</v>
      </c>
      <c r="H217" s="27">
        <v>319</v>
      </c>
      <c r="I217" s="27">
        <f t="shared" si="135"/>
        <v>5</v>
      </c>
    </row>
    <row r="218" spans="1:9" x14ac:dyDescent="0.2">
      <c r="A218" s="32" t="s">
        <v>29</v>
      </c>
      <c r="B218" s="73" t="s">
        <v>63</v>
      </c>
      <c r="C218" s="33" t="s">
        <v>213</v>
      </c>
      <c r="D218" s="74"/>
      <c r="E218" s="74"/>
      <c r="F218" s="74"/>
      <c r="G218" s="21" t="e">
        <f t="shared" si="136"/>
        <v>#DIV/0!</v>
      </c>
      <c r="H218" s="74"/>
      <c r="I218" s="74"/>
    </row>
    <row r="219" spans="1:9" x14ac:dyDescent="0.2">
      <c r="A219" s="32"/>
      <c r="B219" s="58" t="s">
        <v>189</v>
      </c>
      <c r="C219" s="59" t="s">
        <v>190</v>
      </c>
      <c r="D219" s="34">
        <f>38686-24+650</f>
        <v>39312</v>
      </c>
      <c r="E219" s="28">
        <f>'Buget 2024'!D219</f>
        <v>39281</v>
      </c>
      <c r="F219" s="29">
        <f t="shared" ref="F219:F220" si="137">E219-D219</f>
        <v>-31</v>
      </c>
      <c r="G219" s="21">
        <f t="shared" si="136"/>
        <v>-7.8856328856328858E-2</v>
      </c>
      <c r="H219" s="27">
        <v>29</v>
      </c>
      <c r="I219" s="27">
        <f t="shared" ref="I219:I220" si="138">F219-H219</f>
        <v>-60</v>
      </c>
    </row>
    <row r="220" spans="1:9" x14ac:dyDescent="0.2">
      <c r="A220" s="32"/>
      <c r="B220" s="60" t="s">
        <v>191</v>
      </c>
      <c r="C220" s="61" t="s">
        <v>192</v>
      </c>
      <c r="D220" s="34">
        <f>38686-24+650</f>
        <v>39312</v>
      </c>
      <c r="E220" s="28">
        <f>'Buget 2024'!D220</f>
        <v>39281</v>
      </c>
      <c r="F220" s="29">
        <f t="shared" si="137"/>
        <v>-31</v>
      </c>
      <c r="G220" s="21">
        <f t="shared" si="136"/>
        <v>-7.8856328856328858E-2</v>
      </c>
      <c r="H220" s="27">
        <v>29</v>
      </c>
      <c r="I220" s="27">
        <f t="shared" si="138"/>
        <v>-60</v>
      </c>
    </row>
    <row r="221" spans="1:9" x14ac:dyDescent="0.2">
      <c r="A221" s="32" t="s">
        <v>29</v>
      </c>
      <c r="B221" s="73" t="s">
        <v>64</v>
      </c>
      <c r="C221" s="33" t="s">
        <v>65</v>
      </c>
      <c r="D221" s="75"/>
      <c r="E221" s="74"/>
      <c r="F221" s="74"/>
      <c r="G221" s="21" t="e">
        <f t="shared" si="136"/>
        <v>#DIV/0!</v>
      </c>
      <c r="H221" s="75"/>
      <c r="I221" s="75"/>
    </row>
    <row r="222" spans="1:9" x14ac:dyDescent="0.2">
      <c r="A222" s="32"/>
      <c r="B222" s="58" t="s">
        <v>189</v>
      </c>
      <c r="C222" s="59" t="s">
        <v>190</v>
      </c>
      <c r="D222" s="34">
        <f>15993-6+50</f>
        <v>16037</v>
      </c>
      <c r="E222" s="28">
        <f>'Buget 2024'!D222</f>
        <v>15447</v>
      </c>
      <c r="F222" s="29">
        <f t="shared" ref="F222:F223" si="139">E222-D222</f>
        <v>-590</v>
      </c>
      <c r="G222" s="21">
        <f t="shared" si="136"/>
        <v>-3.6789923302363281</v>
      </c>
      <c r="H222" s="27">
        <v>-666</v>
      </c>
      <c r="I222" s="27">
        <f t="shared" ref="I222:I223" si="140">F222-H222</f>
        <v>76</v>
      </c>
    </row>
    <row r="223" spans="1:9" x14ac:dyDescent="0.2">
      <c r="A223" s="32"/>
      <c r="B223" s="60" t="s">
        <v>191</v>
      </c>
      <c r="C223" s="61" t="s">
        <v>192</v>
      </c>
      <c r="D223" s="34">
        <f>15993-6+50</f>
        <v>16037</v>
      </c>
      <c r="E223" s="28">
        <f>'Buget 2024'!D223</f>
        <v>15447</v>
      </c>
      <c r="F223" s="29">
        <f t="shared" si="139"/>
        <v>-590</v>
      </c>
      <c r="G223" s="21">
        <f t="shared" si="136"/>
        <v>-3.6789923302363281</v>
      </c>
      <c r="H223" s="27">
        <v>-666</v>
      </c>
      <c r="I223" s="27">
        <f t="shared" si="140"/>
        <v>76</v>
      </c>
    </row>
    <row r="224" spans="1:9" x14ac:dyDescent="0.2">
      <c r="A224" s="32" t="s">
        <v>29</v>
      </c>
      <c r="B224" s="73" t="s">
        <v>66</v>
      </c>
      <c r="C224" s="33" t="s">
        <v>67</v>
      </c>
      <c r="D224" s="75"/>
      <c r="E224" s="74"/>
      <c r="F224" s="74"/>
      <c r="G224" s="21" t="e">
        <f t="shared" si="136"/>
        <v>#DIV/0!</v>
      </c>
      <c r="H224" s="75"/>
      <c r="I224" s="75"/>
    </row>
    <row r="225" spans="1:9" x14ac:dyDescent="0.2">
      <c r="A225" s="32"/>
      <c r="B225" s="58" t="s">
        <v>189</v>
      </c>
      <c r="C225" s="59" t="s">
        <v>190</v>
      </c>
      <c r="D225" s="34">
        <v>447</v>
      </c>
      <c r="E225" s="28">
        <f>'Buget 2024'!D225</f>
        <v>447</v>
      </c>
      <c r="F225" s="29">
        <f t="shared" ref="F225:F226" si="141">E225-D225</f>
        <v>0</v>
      </c>
      <c r="G225" s="21">
        <f t="shared" si="136"/>
        <v>0</v>
      </c>
      <c r="H225" s="27">
        <v>90</v>
      </c>
      <c r="I225" s="27">
        <f t="shared" ref="I225:I226" si="142">F225-H225</f>
        <v>-90</v>
      </c>
    </row>
    <row r="226" spans="1:9" x14ac:dyDescent="0.2">
      <c r="A226" s="32"/>
      <c r="B226" s="60" t="s">
        <v>191</v>
      </c>
      <c r="C226" s="61" t="s">
        <v>192</v>
      </c>
      <c r="D226" s="34">
        <v>447</v>
      </c>
      <c r="E226" s="28">
        <f>'Buget 2024'!D226</f>
        <v>447</v>
      </c>
      <c r="F226" s="29">
        <f t="shared" si="141"/>
        <v>0</v>
      </c>
      <c r="G226" s="21">
        <f t="shared" si="136"/>
        <v>0</v>
      </c>
      <c r="H226" s="27">
        <v>90</v>
      </c>
      <c r="I226" s="27">
        <f t="shared" si="142"/>
        <v>-90</v>
      </c>
    </row>
    <row r="227" spans="1:9" x14ac:dyDescent="0.2">
      <c r="A227" s="32" t="s">
        <v>29</v>
      </c>
      <c r="B227" s="73" t="s">
        <v>68</v>
      </c>
      <c r="C227" s="33" t="s">
        <v>214</v>
      </c>
      <c r="D227" s="75"/>
      <c r="E227" s="74"/>
      <c r="F227" s="74"/>
      <c r="G227" s="21" t="e">
        <f t="shared" si="136"/>
        <v>#DIV/0!</v>
      </c>
      <c r="H227" s="75"/>
      <c r="I227" s="75"/>
    </row>
    <row r="228" spans="1:9" x14ac:dyDescent="0.2">
      <c r="A228" s="32"/>
      <c r="B228" s="58" t="s">
        <v>189</v>
      </c>
      <c r="C228" s="59" t="s">
        <v>190</v>
      </c>
      <c r="D228" s="34">
        <f>4592-33</f>
        <v>4559</v>
      </c>
      <c r="E228" s="28">
        <f>'Buget 2024'!D228</f>
        <v>5334</v>
      </c>
      <c r="F228" s="29">
        <f t="shared" ref="F228:F229" si="143">E228-D228</f>
        <v>775</v>
      </c>
      <c r="G228" s="21">
        <f t="shared" si="136"/>
        <v>16.99934196095635</v>
      </c>
      <c r="H228" s="27">
        <v>724</v>
      </c>
      <c r="I228" s="27">
        <f t="shared" ref="I228:I229" si="144">F228-H228</f>
        <v>51</v>
      </c>
    </row>
    <row r="229" spans="1:9" x14ac:dyDescent="0.2">
      <c r="A229" s="32"/>
      <c r="B229" s="60" t="s">
        <v>191</v>
      </c>
      <c r="C229" s="61" t="s">
        <v>192</v>
      </c>
      <c r="D229" s="34">
        <f>4592-33</f>
        <v>4559</v>
      </c>
      <c r="E229" s="28">
        <f>'Buget 2024'!D229</f>
        <v>5334</v>
      </c>
      <c r="F229" s="29">
        <f t="shared" si="143"/>
        <v>775</v>
      </c>
      <c r="G229" s="21">
        <f t="shared" si="136"/>
        <v>16.99934196095635</v>
      </c>
      <c r="H229" s="27">
        <v>724</v>
      </c>
      <c r="I229" s="27">
        <f t="shared" si="144"/>
        <v>51</v>
      </c>
    </row>
    <row r="230" spans="1:9" x14ac:dyDescent="0.2">
      <c r="A230" s="32" t="s">
        <v>29</v>
      </c>
      <c r="B230" s="73" t="s">
        <v>69</v>
      </c>
      <c r="C230" s="33" t="s">
        <v>215</v>
      </c>
      <c r="D230" s="75"/>
      <c r="E230" s="74"/>
      <c r="F230" s="74"/>
      <c r="G230" s="21" t="e">
        <f t="shared" si="136"/>
        <v>#DIV/0!</v>
      </c>
      <c r="H230" s="75"/>
      <c r="I230" s="75"/>
    </row>
    <row r="231" spans="1:9" x14ac:dyDescent="0.2">
      <c r="A231" s="32"/>
      <c r="B231" s="58" t="s">
        <v>189</v>
      </c>
      <c r="C231" s="59" t="s">
        <v>190</v>
      </c>
      <c r="D231" s="34">
        <f>23655+600</f>
        <v>24255</v>
      </c>
      <c r="E231" s="28">
        <f>'Buget 2024'!D231</f>
        <v>24460</v>
      </c>
      <c r="F231" s="29">
        <f t="shared" ref="F231:F232" si="145">E231-D231</f>
        <v>205</v>
      </c>
      <c r="G231" s="21">
        <f t="shared" si="136"/>
        <v>0.84518655947227372</v>
      </c>
      <c r="H231" s="27">
        <v>884</v>
      </c>
      <c r="I231" s="27">
        <f t="shared" ref="I231:I232" si="146">F231-H231</f>
        <v>-679</v>
      </c>
    </row>
    <row r="232" spans="1:9" x14ac:dyDescent="0.2">
      <c r="A232" s="32"/>
      <c r="B232" s="60" t="s">
        <v>191</v>
      </c>
      <c r="C232" s="61" t="s">
        <v>192</v>
      </c>
      <c r="D232" s="34">
        <f>23655+600</f>
        <v>24255</v>
      </c>
      <c r="E232" s="28">
        <f>'Buget 2024'!D232</f>
        <v>24460</v>
      </c>
      <c r="F232" s="29">
        <f t="shared" si="145"/>
        <v>205</v>
      </c>
      <c r="G232" s="21">
        <f t="shared" si="136"/>
        <v>0.84518655947227372</v>
      </c>
      <c r="H232" s="27">
        <v>884</v>
      </c>
      <c r="I232" s="27">
        <f t="shared" si="146"/>
        <v>-679</v>
      </c>
    </row>
    <row r="233" spans="1:9" x14ac:dyDescent="0.2">
      <c r="A233" s="32" t="s">
        <v>29</v>
      </c>
      <c r="B233" s="73" t="s">
        <v>70</v>
      </c>
      <c r="C233" s="33" t="s">
        <v>216</v>
      </c>
      <c r="D233" s="74"/>
      <c r="E233" s="74"/>
      <c r="F233" s="74"/>
      <c r="G233" s="21" t="e">
        <f t="shared" si="136"/>
        <v>#DIV/0!</v>
      </c>
      <c r="H233" s="74"/>
      <c r="I233" s="74"/>
    </row>
    <row r="234" spans="1:9" x14ac:dyDescent="0.2">
      <c r="A234" s="32"/>
      <c r="B234" s="58" t="s">
        <v>189</v>
      </c>
      <c r="C234" s="59" t="s">
        <v>190</v>
      </c>
      <c r="D234" s="34">
        <f>37653-167</f>
        <v>37486</v>
      </c>
      <c r="E234" s="28">
        <f>'Buget 2024'!D234</f>
        <v>39800</v>
      </c>
      <c r="F234" s="29">
        <f t="shared" ref="F234:F235" si="147">E234-D234</f>
        <v>2314</v>
      </c>
      <c r="G234" s="21">
        <f t="shared" si="136"/>
        <v>6.1729712425972361</v>
      </c>
      <c r="H234" s="27">
        <v>1331</v>
      </c>
      <c r="I234" s="27">
        <f t="shared" ref="I234:I235" si="148">F234-H234</f>
        <v>983</v>
      </c>
    </row>
    <row r="235" spans="1:9" x14ac:dyDescent="0.2">
      <c r="A235" s="32"/>
      <c r="B235" s="60" t="s">
        <v>191</v>
      </c>
      <c r="C235" s="61" t="s">
        <v>192</v>
      </c>
      <c r="D235" s="34">
        <f>37653-167</f>
        <v>37486</v>
      </c>
      <c r="E235" s="28">
        <f>'Buget 2024'!D235</f>
        <v>39800</v>
      </c>
      <c r="F235" s="29">
        <f t="shared" si="147"/>
        <v>2314</v>
      </c>
      <c r="G235" s="21">
        <f t="shared" si="136"/>
        <v>6.1729712425972361</v>
      </c>
      <c r="H235" s="27">
        <v>1331</v>
      </c>
      <c r="I235" s="27">
        <f t="shared" si="148"/>
        <v>983</v>
      </c>
    </row>
    <row r="236" spans="1:9" x14ac:dyDescent="0.2">
      <c r="A236" s="40" t="s">
        <v>29</v>
      </c>
      <c r="B236" s="76" t="s">
        <v>71</v>
      </c>
      <c r="C236" s="41" t="s">
        <v>217</v>
      </c>
      <c r="D236" s="77"/>
      <c r="E236" s="77"/>
      <c r="F236" s="77"/>
      <c r="G236" s="21" t="e">
        <f t="shared" si="136"/>
        <v>#DIV/0!</v>
      </c>
      <c r="H236" s="77"/>
      <c r="I236" s="77"/>
    </row>
    <row r="237" spans="1:9" x14ac:dyDescent="0.2">
      <c r="A237" s="40"/>
      <c r="B237" s="22" t="s">
        <v>189</v>
      </c>
      <c r="C237" s="53" t="s">
        <v>190</v>
      </c>
      <c r="D237" s="24">
        <f>43193-229</f>
        <v>42964</v>
      </c>
      <c r="E237" s="24">
        <f>'Buget 2024'!D237</f>
        <v>48068</v>
      </c>
      <c r="F237" s="24">
        <f t="shared" ref="F237:F238" si="149">E237-D237</f>
        <v>5104</v>
      </c>
      <c r="G237" s="21">
        <f t="shared" si="136"/>
        <v>11.879713248300904</v>
      </c>
      <c r="H237" s="77">
        <v>858</v>
      </c>
      <c r="I237" s="77">
        <f t="shared" ref="I237:I238" si="150">F237-H237</f>
        <v>4246</v>
      </c>
    </row>
    <row r="238" spans="1:9" x14ac:dyDescent="0.2">
      <c r="A238" s="40"/>
      <c r="B238" s="22" t="s">
        <v>191</v>
      </c>
      <c r="C238" s="53" t="s">
        <v>192</v>
      </c>
      <c r="D238" s="24">
        <f>43193-229</f>
        <v>42964</v>
      </c>
      <c r="E238" s="24">
        <f>'Buget 2024'!D238</f>
        <v>48068</v>
      </c>
      <c r="F238" s="24">
        <f t="shared" si="149"/>
        <v>5104</v>
      </c>
      <c r="G238" s="21">
        <f t="shared" si="136"/>
        <v>11.879713248300904</v>
      </c>
      <c r="H238" s="77">
        <v>858</v>
      </c>
      <c r="I238" s="77">
        <f t="shared" si="150"/>
        <v>4246</v>
      </c>
    </row>
    <row r="239" spans="1:9" x14ac:dyDescent="0.2">
      <c r="A239" s="22" t="s">
        <v>29</v>
      </c>
      <c r="B239" s="78" t="s">
        <v>72</v>
      </c>
      <c r="C239" s="23" t="s">
        <v>218</v>
      </c>
      <c r="D239" s="24"/>
      <c r="E239" s="24"/>
      <c r="F239" s="24"/>
      <c r="G239" s="21" t="e">
        <f t="shared" si="136"/>
        <v>#DIV/0!</v>
      </c>
      <c r="H239" s="24"/>
      <c r="I239" s="24"/>
    </row>
    <row r="240" spans="1:9" x14ac:dyDescent="0.2">
      <c r="A240" s="22"/>
      <c r="B240" s="22" t="s">
        <v>189</v>
      </c>
      <c r="C240" s="53" t="s">
        <v>190</v>
      </c>
      <c r="D240" s="24">
        <f t="shared" ref="D240:D241" si="151">D243</f>
        <v>40</v>
      </c>
      <c r="E240" s="24">
        <f t="shared" ref="E240:F241" si="152">E243</f>
        <v>40</v>
      </c>
      <c r="F240" s="24">
        <f t="shared" si="152"/>
        <v>0</v>
      </c>
      <c r="G240" s="21">
        <f t="shared" si="136"/>
        <v>0</v>
      </c>
      <c r="H240" s="24">
        <f t="shared" ref="H240:I241" si="153">H243</f>
        <v>0</v>
      </c>
      <c r="I240" s="24">
        <f t="shared" si="153"/>
        <v>0</v>
      </c>
    </row>
    <row r="241" spans="1:9" x14ac:dyDescent="0.2">
      <c r="A241" s="22"/>
      <c r="B241" s="22" t="s">
        <v>191</v>
      </c>
      <c r="C241" s="53" t="s">
        <v>192</v>
      </c>
      <c r="D241" s="77">
        <f t="shared" si="151"/>
        <v>40</v>
      </c>
      <c r="E241" s="77">
        <f t="shared" si="152"/>
        <v>40</v>
      </c>
      <c r="F241" s="77">
        <f t="shared" si="152"/>
        <v>0</v>
      </c>
      <c r="G241" s="21">
        <f t="shared" si="136"/>
        <v>0</v>
      </c>
      <c r="H241" s="77">
        <f t="shared" si="153"/>
        <v>0</v>
      </c>
      <c r="I241" s="77">
        <f t="shared" si="153"/>
        <v>0</v>
      </c>
    </row>
    <row r="242" spans="1:9" x14ac:dyDescent="0.2">
      <c r="A242" s="32" t="s">
        <v>29</v>
      </c>
      <c r="B242" s="73" t="s">
        <v>73</v>
      </c>
      <c r="C242" s="33" t="s">
        <v>219</v>
      </c>
      <c r="D242" s="35"/>
      <c r="E242" s="35"/>
      <c r="F242" s="35"/>
      <c r="G242" s="21" t="e">
        <f t="shared" si="136"/>
        <v>#DIV/0!</v>
      </c>
      <c r="H242" s="35"/>
      <c r="I242" s="35"/>
    </row>
    <row r="243" spans="1:9" x14ac:dyDescent="0.2">
      <c r="A243" s="32"/>
      <c r="B243" s="58" t="s">
        <v>189</v>
      </c>
      <c r="C243" s="59" t="s">
        <v>190</v>
      </c>
      <c r="D243" s="35">
        <v>40</v>
      </c>
      <c r="E243" s="28">
        <f>'Buget 2024'!D243</f>
        <v>40</v>
      </c>
      <c r="F243" s="29">
        <f t="shared" ref="F243:F244" si="154">E243-D243</f>
        <v>0</v>
      </c>
      <c r="G243" s="21">
        <f t="shared" si="136"/>
        <v>0</v>
      </c>
      <c r="H243" s="27"/>
      <c r="I243" s="27">
        <f t="shared" ref="I243:I244" si="155">F243-H243</f>
        <v>0</v>
      </c>
    </row>
    <row r="244" spans="1:9" x14ac:dyDescent="0.2">
      <c r="A244" s="32"/>
      <c r="B244" s="60" t="s">
        <v>191</v>
      </c>
      <c r="C244" s="61" t="s">
        <v>192</v>
      </c>
      <c r="D244" s="35">
        <v>40</v>
      </c>
      <c r="E244" s="28">
        <f>'Buget 2024'!D244</f>
        <v>40</v>
      </c>
      <c r="F244" s="29">
        <f t="shared" si="154"/>
        <v>0</v>
      </c>
      <c r="G244" s="21">
        <f t="shared" si="136"/>
        <v>0</v>
      </c>
      <c r="H244" s="27"/>
      <c r="I244" s="27">
        <f t="shared" si="155"/>
        <v>0</v>
      </c>
    </row>
    <row r="245" spans="1:9" x14ac:dyDescent="0.2">
      <c r="A245" s="22" t="s">
        <v>29</v>
      </c>
      <c r="B245" s="72" t="s">
        <v>74</v>
      </c>
      <c r="C245" s="23" t="s">
        <v>75</v>
      </c>
      <c r="D245" s="24"/>
      <c r="E245" s="24"/>
      <c r="F245" s="24"/>
      <c r="G245" s="21" t="e">
        <f t="shared" si="136"/>
        <v>#DIV/0!</v>
      </c>
      <c r="H245" s="24"/>
      <c r="I245" s="24"/>
    </row>
    <row r="246" spans="1:9" x14ac:dyDescent="0.2">
      <c r="A246" s="22"/>
      <c r="B246" s="22" t="s">
        <v>189</v>
      </c>
      <c r="C246" s="53" t="s">
        <v>190</v>
      </c>
      <c r="D246" s="24">
        <f t="shared" ref="D246:D247" si="156">D249+D252+D255+D258</f>
        <v>2301</v>
      </c>
      <c r="E246" s="24">
        <f t="shared" ref="E246:F247" si="157">E249+E252+E255+E258</f>
        <v>2352</v>
      </c>
      <c r="F246" s="24">
        <f t="shared" si="157"/>
        <v>51</v>
      </c>
      <c r="G246" s="21">
        <f t="shared" si="136"/>
        <v>2.216427640156454</v>
      </c>
      <c r="H246" s="24">
        <f t="shared" ref="H246:I247" si="158">H249+H252+H255+H258</f>
        <v>77</v>
      </c>
      <c r="I246" s="24">
        <f t="shared" si="158"/>
        <v>-26</v>
      </c>
    </row>
    <row r="247" spans="1:9" x14ac:dyDescent="0.2">
      <c r="A247" s="22"/>
      <c r="B247" s="22" t="s">
        <v>191</v>
      </c>
      <c r="C247" s="53" t="s">
        <v>192</v>
      </c>
      <c r="D247" s="24">
        <f t="shared" si="156"/>
        <v>2301</v>
      </c>
      <c r="E247" s="24">
        <f t="shared" si="157"/>
        <v>2352</v>
      </c>
      <c r="F247" s="24">
        <f t="shared" si="157"/>
        <v>51</v>
      </c>
      <c r="G247" s="21">
        <f t="shared" si="136"/>
        <v>2.216427640156454</v>
      </c>
      <c r="H247" s="24">
        <f t="shared" si="158"/>
        <v>77</v>
      </c>
      <c r="I247" s="24">
        <f t="shared" si="158"/>
        <v>-26</v>
      </c>
    </row>
    <row r="248" spans="1:9" x14ac:dyDescent="0.2">
      <c r="A248" s="32" t="s">
        <v>29</v>
      </c>
      <c r="B248" s="73" t="s">
        <v>76</v>
      </c>
      <c r="C248" s="33" t="s">
        <v>77</v>
      </c>
      <c r="D248" s="35"/>
      <c r="E248" s="35"/>
      <c r="F248" s="35"/>
      <c r="G248" s="21" t="e">
        <f t="shared" si="136"/>
        <v>#DIV/0!</v>
      </c>
      <c r="H248" s="35"/>
      <c r="I248" s="35"/>
    </row>
    <row r="249" spans="1:9" x14ac:dyDescent="0.2">
      <c r="A249" s="32"/>
      <c r="B249" s="58" t="s">
        <v>189</v>
      </c>
      <c r="C249" s="59" t="s">
        <v>190</v>
      </c>
      <c r="D249" s="34">
        <v>30</v>
      </c>
      <c r="E249" s="28">
        <f>'Buget 2024'!D249</f>
        <v>27</v>
      </c>
      <c r="F249" s="29">
        <f t="shared" ref="F249:F250" si="159">E249-D249</f>
        <v>-3</v>
      </c>
      <c r="G249" s="21">
        <f t="shared" si="136"/>
        <v>-10</v>
      </c>
      <c r="H249" s="27"/>
      <c r="I249" s="27">
        <f t="shared" ref="I249:I250" si="160">F249-H249</f>
        <v>-3</v>
      </c>
    </row>
    <row r="250" spans="1:9" x14ac:dyDescent="0.2">
      <c r="A250" s="32"/>
      <c r="B250" s="60" t="s">
        <v>191</v>
      </c>
      <c r="C250" s="61" t="s">
        <v>192</v>
      </c>
      <c r="D250" s="34">
        <v>30</v>
      </c>
      <c r="E250" s="28">
        <f>'Buget 2024'!D250</f>
        <v>27</v>
      </c>
      <c r="F250" s="29">
        <f t="shared" si="159"/>
        <v>-3</v>
      </c>
      <c r="G250" s="21">
        <f t="shared" si="136"/>
        <v>-10</v>
      </c>
      <c r="H250" s="27"/>
      <c r="I250" s="27">
        <f t="shared" si="160"/>
        <v>-3</v>
      </c>
    </row>
    <row r="251" spans="1:9" x14ac:dyDescent="0.2">
      <c r="A251" s="32" t="s">
        <v>29</v>
      </c>
      <c r="B251" s="73" t="s">
        <v>78</v>
      </c>
      <c r="C251" s="33" t="s">
        <v>79</v>
      </c>
      <c r="D251" s="34"/>
      <c r="E251" s="35"/>
      <c r="F251" s="35"/>
      <c r="G251" s="21" t="e">
        <f t="shared" si="136"/>
        <v>#DIV/0!</v>
      </c>
      <c r="H251" s="34"/>
      <c r="I251" s="34"/>
    </row>
    <row r="252" spans="1:9" x14ac:dyDescent="0.2">
      <c r="A252" s="32"/>
      <c r="B252" s="58" t="s">
        <v>189</v>
      </c>
      <c r="C252" s="59" t="s">
        <v>190</v>
      </c>
      <c r="D252" s="34">
        <v>102</v>
      </c>
      <c r="E252" s="28">
        <f>'Buget 2024'!D252</f>
        <v>109</v>
      </c>
      <c r="F252" s="29">
        <f t="shared" ref="F252:F253" si="161">E252-D252</f>
        <v>7</v>
      </c>
      <c r="G252" s="21">
        <f t="shared" si="136"/>
        <v>6.8627450980392162</v>
      </c>
      <c r="H252" s="27">
        <v>5</v>
      </c>
      <c r="I252" s="27">
        <f t="shared" ref="I252:I253" si="162">F252-H252</f>
        <v>2</v>
      </c>
    </row>
    <row r="253" spans="1:9" x14ac:dyDescent="0.2">
      <c r="A253" s="32"/>
      <c r="B253" s="60" t="s">
        <v>191</v>
      </c>
      <c r="C253" s="61" t="s">
        <v>192</v>
      </c>
      <c r="D253" s="34">
        <v>102</v>
      </c>
      <c r="E253" s="28">
        <f>'Buget 2024'!D253</f>
        <v>109</v>
      </c>
      <c r="F253" s="29">
        <f t="shared" si="161"/>
        <v>7</v>
      </c>
      <c r="G253" s="21">
        <f t="shared" si="136"/>
        <v>6.8627450980392162</v>
      </c>
      <c r="H253" s="27">
        <v>5</v>
      </c>
      <c r="I253" s="27">
        <f t="shared" si="162"/>
        <v>2</v>
      </c>
    </row>
    <row r="254" spans="1:9" x14ac:dyDescent="0.2">
      <c r="A254" s="32" t="s">
        <v>29</v>
      </c>
      <c r="B254" s="73" t="s">
        <v>80</v>
      </c>
      <c r="C254" s="33" t="s">
        <v>81</v>
      </c>
      <c r="D254" s="34"/>
      <c r="E254" s="35"/>
      <c r="F254" s="35"/>
      <c r="G254" s="21" t="e">
        <f t="shared" si="136"/>
        <v>#DIV/0!</v>
      </c>
      <c r="H254" s="34"/>
      <c r="I254" s="34"/>
    </row>
    <row r="255" spans="1:9" x14ac:dyDescent="0.2">
      <c r="A255" s="32"/>
      <c r="B255" s="58" t="s">
        <v>189</v>
      </c>
      <c r="C255" s="59" t="s">
        <v>190</v>
      </c>
      <c r="D255" s="34">
        <v>2149</v>
      </c>
      <c r="E255" s="28">
        <f>'Buget 2024'!D255</f>
        <v>2202</v>
      </c>
      <c r="F255" s="29">
        <f t="shared" ref="F255:F256" si="163">E255-D255</f>
        <v>53</v>
      </c>
      <c r="G255" s="21">
        <f t="shared" si="136"/>
        <v>2.4662633783154959</v>
      </c>
      <c r="H255" s="27">
        <v>78</v>
      </c>
      <c r="I255" s="27">
        <f t="shared" ref="I255:I256" si="164">F255-H255</f>
        <v>-25</v>
      </c>
    </row>
    <row r="256" spans="1:9" x14ac:dyDescent="0.2">
      <c r="A256" s="32"/>
      <c r="B256" s="60" t="s">
        <v>191</v>
      </c>
      <c r="C256" s="61" t="s">
        <v>192</v>
      </c>
      <c r="D256" s="34">
        <v>2149</v>
      </c>
      <c r="E256" s="28">
        <f>'Buget 2024'!D256</f>
        <v>2202</v>
      </c>
      <c r="F256" s="29">
        <f t="shared" si="163"/>
        <v>53</v>
      </c>
      <c r="G256" s="21">
        <f t="shared" si="136"/>
        <v>2.4662633783154959</v>
      </c>
      <c r="H256" s="27">
        <v>78</v>
      </c>
      <c r="I256" s="27">
        <f t="shared" si="164"/>
        <v>-25</v>
      </c>
    </row>
    <row r="257" spans="1:9" x14ac:dyDescent="0.2">
      <c r="A257" s="32" t="s">
        <v>29</v>
      </c>
      <c r="B257" s="73" t="s">
        <v>82</v>
      </c>
      <c r="C257" s="33" t="s">
        <v>220</v>
      </c>
      <c r="D257" s="34"/>
      <c r="E257" s="35"/>
      <c r="F257" s="35"/>
      <c r="G257" s="21" t="e">
        <f t="shared" si="136"/>
        <v>#DIV/0!</v>
      </c>
      <c r="H257" s="34"/>
      <c r="I257" s="34"/>
    </row>
    <row r="258" spans="1:9" x14ac:dyDescent="0.2">
      <c r="A258" s="32"/>
      <c r="B258" s="58" t="s">
        <v>189</v>
      </c>
      <c r="C258" s="59" t="s">
        <v>190</v>
      </c>
      <c r="D258" s="34">
        <v>20</v>
      </c>
      <c r="E258" s="28">
        <f>'Buget 2024'!D258</f>
        <v>14</v>
      </c>
      <c r="F258" s="29">
        <f t="shared" ref="F258:F259" si="165">E258-D258</f>
        <v>-6</v>
      </c>
      <c r="G258" s="21">
        <f t="shared" si="136"/>
        <v>-30</v>
      </c>
      <c r="H258" s="27">
        <v>-6</v>
      </c>
      <c r="I258" s="27">
        <f t="shared" ref="I258:I259" si="166">F258-H258</f>
        <v>0</v>
      </c>
    </row>
    <row r="259" spans="1:9" x14ac:dyDescent="0.2">
      <c r="A259" s="32"/>
      <c r="B259" s="60" t="s">
        <v>191</v>
      </c>
      <c r="C259" s="61" t="s">
        <v>192</v>
      </c>
      <c r="D259" s="35">
        <v>20</v>
      </c>
      <c r="E259" s="28">
        <f>'Buget 2024'!D259</f>
        <v>14</v>
      </c>
      <c r="F259" s="29">
        <f t="shared" si="165"/>
        <v>-6</v>
      </c>
      <c r="G259" s="21">
        <f t="shared" si="136"/>
        <v>-30</v>
      </c>
      <c r="H259" s="27">
        <v>-6</v>
      </c>
      <c r="I259" s="27">
        <f t="shared" si="166"/>
        <v>0</v>
      </c>
    </row>
    <row r="260" spans="1:9" x14ac:dyDescent="0.2">
      <c r="A260" s="22" t="s">
        <v>29</v>
      </c>
      <c r="B260" s="72" t="s">
        <v>83</v>
      </c>
      <c r="C260" s="23" t="s">
        <v>84</v>
      </c>
      <c r="D260" s="24"/>
      <c r="E260" s="24"/>
      <c r="F260" s="24"/>
      <c r="G260" s="21" t="e">
        <f t="shared" si="136"/>
        <v>#DIV/0!</v>
      </c>
      <c r="H260" s="24"/>
      <c r="I260" s="24"/>
    </row>
    <row r="261" spans="1:9" x14ac:dyDescent="0.2">
      <c r="A261" s="22"/>
      <c r="B261" s="22" t="s">
        <v>189</v>
      </c>
      <c r="C261" s="53" t="s">
        <v>190</v>
      </c>
      <c r="D261" s="24">
        <f t="shared" ref="D261:D262" si="167">D264+D267+D270</f>
        <v>6861</v>
      </c>
      <c r="E261" s="24">
        <f t="shared" ref="E261:F262" si="168">E264+E267+E270</f>
        <v>7176</v>
      </c>
      <c r="F261" s="24">
        <f t="shared" si="168"/>
        <v>315</v>
      </c>
      <c r="G261" s="21">
        <f t="shared" si="136"/>
        <v>4.5911674682990817</v>
      </c>
      <c r="H261" s="24">
        <f t="shared" ref="H261:I262" si="169">H264+H267+H270</f>
        <v>-102</v>
      </c>
      <c r="I261" s="24">
        <f t="shared" si="169"/>
        <v>417</v>
      </c>
    </row>
    <row r="262" spans="1:9" x14ac:dyDescent="0.2">
      <c r="A262" s="22"/>
      <c r="B262" s="22" t="s">
        <v>191</v>
      </c>
      <c r="C262" s="53" t="s">
        <v>192</v>
      </c>
      <c r="D262" s="24">
        <f t="shared" si="167"/>
        <v>6861</v>
      </c>
      <c r="E262" s="24">
        <f t="shared" si="168"/>
        <v>7176</v>
      </c>
      <c r="F262" s="24">
        <f t="shared" si="168"/>
        <v>315</v>
      </c>
      <c r="G262" s="21">
        <f t="shared" si="136"/>
        <v>4.5911674682990817</v>
      </c>
      <c r="H262" s="24">
        <f t="shared" si="169"/>
        <v>-102</v>
      </c>
      <c r="I262" s="24">
        <f t="shared" si="169"/>
        <v>417</v>
      </c>
    </row>
    <row r="263" spans="1:9" x14ac:dyDescent="0.2">
      <c r="A263" s="32" t="s">
        <v>29</v>
      </c>
      <c r="B263" s="73" t="s">
        <v>85</v>
      </c>
      <c r="C263" s="33" t="s">
        <v>221</v>
      </c>
      <c r="D263" s="35"/>
      <c r="E263" s="35"/>
      <c r="F263" s="35"/>
      <c r="G263" s="21" t="e">
        <f t="shared" si="136"/>
        <v>#DIV/0!</v>
      </c>
      <c r="H263" s="35"/>
      <c r="I263" s="35"/>
    </row>
    <row r="264" spans="1:9" x14ac:dyDescent="0.2">
      <c r="A264" s="32"/>
      <c r="B264" s="58" t="s">
        <v>189</v>
      </c>
      <c r="C264" s="59" t="s">
        <v>190</v>
      </c>
      <c r="D264" s="34">
        <f>2792-30</f>
        <v>2762</v>
      </c>
      <c r="E264" s="28">
        <f>'Buget 2024'!D264</f>
        <v>2948</v>
      </c>
      <c r="F264" s="29">
        <f t="shared" ref="F264:F265" si="170">E264-D264</f>
        <v>186</v>
      </c>
      <c r="G264" s="21">
        <f t="shared" si="136"/>
        <v>6.7342505430847215</v>
      </c>
      <c r="H264" s="27">
        <v>-104</v>
      </c>
      <c r="I264" s="27">
        <f t="shared" ref="I264:I265" si="171">F264-H264</f>
        <v>290</v>
      </c>
    </row>
    <row r="265" spans="1:9" x14ac:dyDescent="0.2">
      <c r="A265" s="32"/>
      <c r="B265" s="60" t="s">
        <v>191</v>
      </c>
      <c r="C265" s="61" t="s">
        <v>192</v>
      </c>
      <c r="D265" s="34">
        <f>2792-30</f>
        <v>2762</v>
      </c>
      <c r="E265" s="28">
        <f>'Buget 2024'!D265</f>
        <v>2948</v>
      </c>
      <c r="F265" s="29">
        <f t="shared" si="170"/>
        <v>186</v>
      </c>
      <c r="G265" s="21">
        <f t="shared" si="136"/>
        <v>6.7342505430847215</v>
      </c>
      <c r="H265" s="27">
        <v>-104</v>
      </c>
      <c r="I265" s="27">
        <f t="shared" si="171"/>
        <v>290</v>
      </c>
    </row>
    <row r="266" spans="1:9" x14ac:dyDescent="0.2">
      <c r="A266" s="32" t="s">
        <v>29</v>
      </c>
      <c r="B266" s="73" t="s">
        <v>86</v>
      </c>
      <c r="C266" s="33" t="s">
        <v>222</v>
      </c>
      <c r="D266" s="34"/>
      <c r="E266" s="35"/>
      <c r="F266" s="35"/>
      <c r="G266" s="21" t="e">
        <f t="shared" si="136"/>
        <v>#DIV/0!</v>
      </c>
      <c r="H266" s="34"/>
      <c r="I266" s="34"/>
    </row>
    <row r="267" spans="1:9" x14ac:dyDescent="0.2">
      <c r="A267" s="32"/>
      <c r="B267" s="58" t="s">
        <v>189</v>
      </c>
      <c r="C267" s="59" t="s">
        <v>190</v>
      </c>
      <c r="D267" s="34">
        <f>119-19</f>
        <v>100</v>
      </c>
      <c r="E267" s="28">
        <f>'Buget 2024'!D267</f>
        <v>193</v>
      </c>
      <c r="F267" s="29">
        <f t="shared" ref="F267:F268" si="172">E267-D267</f>
        <v>93</v>
      </c>
      <c r="G267" s="21">
        <f t="shared" si="136"/>
        <v>93</v>
      </c>
      <c r="H267" s="27">
        <v>-1</v>
      </c>
      <c r="I267" s="27">
        <f t="shared" ref="I267:I268" si="173">F267-H267</f>
        <v>94</v>
      </c>
    </row>
    <row r="268" spans="1:9" x14ac:dyDescent="0.2">
      <c r="A268" s="32"/>
      <c r="B268" s="60" t="s">
        <v>191</v>
      </c>
      <c r="C268" s="61" t="s">
        <v>192</v>
      </c>
      <c r="D268" s="34">
        <f>119-19</f>
        <v>100</v>
      </c>
      <c r="E268" s="28">
        <f>'Buget 2024'!D268</f>
        <v>193</v>
      </c>
      <c r="F268" s="29">
        <f t="shared" si="172"/>
        <v>93</v>
      </c>
      <c r="G268" s="21">
        <f t="shared" si="136"/>
        <v>93</v>
      </c>
      <c r="H268" s="27">
        <v>-1</v>
      </c>
      <c r="I268" s="27">
        <f t="shared" si="173"/>
        <v>94</v>
      </c>
    </row>
    <row r="269" spans="1:9" x14ac:dyDescent="0.2">
      <c r="A269" s="32" t="s">
        <v>29</v>
      </c>
      <c r="B269" s="73" t="s">
        <v>87</v>
      </c>
      <c r="C269" s="33" t="s">
        <v>88</v>
      </c>
      <c r="D269" s="34"/>
      <c r="E269" s="35"/>
      <c r="F269" s="35"/>
      <c r="G269" s="21" t="e">
        <f t="shared" si="136"/>
        <v>#DIV/0!</v>
      </c>
      <c r="H269" s="34"/>
      <c r="I269" s="34"/>
    </row>
    <row r="270" spans="1:9" x14ac:dyDescent="0.2">
      <c r="A270" s="32"/>
      <c r="B270" s="58" t="s">
        <v>189</v>
      </c>
      <c r="C270" s="59" t="s">
        <v>190</v>
      </c>
      <c r="D270" s="34">
        <f>4031-32</f>
        <v>3999</v>
      </c>
      <c r="E270" s="28">
        <f>'Buget 2024'!D270</f>
        <v>4035</v>
      </c>
      <c r="F270" s="29">
        <f t="shared" ref="F270:F271" si="174">E270-D270</f>
        <v>36</v>
      </c>
      <c r="G270" s="21">
        <f t="shared" si="136"/>
        <v>0.9002250562640659</v>
      </c>
      <c r="H270" s="27">
        <v>3</v>
      </c>
      <c r="I270" s="27">
        <f t="shared" ref="I270:I271" si="175">F270-H270</f>
        <v>33</v>
      </c>
    </row>
    <row r="271" spans="1:9" x14ac:dyDescent="0.2">
      <c r="A271" s="32"/>
      <c r="B271" s="60" t="s">
        <v>191</v>
      </c>
      <c r="C271" s="61" t="s">
        <v>192</v>
      </c>
      <c r="D271" s="34">
        <f>4031-32</f>
        <v>3999</v>
      </c>
      <c r="E271" s="28">
        <f>'Buget 2024'!D271</f>
        <v>4035</v>
      </c>
      <c r="F271" s="29">
        <f t="shared" si="174"/>
        <v>36</v>
      </c>
      <c r="G271" s="21">
        <f t="shared" si="136"/>
        <v>0.9002250562640659</v>
      </c>
      <c r="H271" s="27">
        <v>3</v>
      </c>
      <c r="I271" s="27">
        <f t="shared" si="175"/>
        <v>33</v>
      </c>
    </row>
    <row r="272" spans="1:9" x14ac:dyDescent="0.2">
      <c r="A272" s="22" t="s">
        <v>29</v>
      </c>
      <c r="B272" s="72" t="s">
        <v>89</v>
      </c>
      <c r="C272" s="23" t="s">
        <v>223</v>
      </c>
      <c r="D272" s="24"/>
      <c r="E272" s="24"/>
      <c r="F272" s="24"/>
      <c r="G272" s="21" t="e">
        <f t="shared" si="136"/>
        <v>#DIV/0!</v>
      </c>
      <c r="H272" s="24"/>
      <c r="I272" s="24"/>
    </row>
    <row r="273" spans="1:9" x14ac:dyDescent="0.2">
      <c r="A273" s="22"/>
      <c r="B273" s="22" t="s">
        <v>189</v>
      </c>
      <c r="C273" s="53" t="s">
        <v>190</v>
      </c>
      <c r="D273" s="24">
        <f t="shared" ref="D273:D274" si="176">D276+D279</f>
        <v>4254</v>
      </c>
      <c r="E273" s="24">
        <f t="shared" ref="E273:F274" si="177">E276+E279</f>
        <v>3965</v>
      </c>
      <c r="F273" s="24">
        <f t="shared" si="177"/>
        <v>-289</v>
      </c>
      <c r="G273" s="21">
        <f t="shared" si="136"/>
        <v>-6.7936060178655389</v>
      </c>
      <c r="H273" s="24">
        <f t="shared" ref="H273:I274" si="178">H276+H279</f>
        <v>-278</v>
      </c>
      <c r="I273" s="24">
        <f t="shared" si="178"/>
        <v>-11</v>
      </c>
    </row>
    <row r="274" spans="1:9" x14ac:dyDescent="0.2">
      <c r="A274" s="22"/>
      <c r="B274" s="22" t="s">
        <v>191</v>
      </c>
      <c r="C274" s="53" t="s">
        <v>192</v>
      </c>
      <c r="D274" s="24">
        <f t="shared" si="176"/>
        <v>4254</v>
      </c>
      <c r="E274" s="24">
        <f t="shared" si="177"/>
        <v>3965</v>
      </c>
      <c r="F274" s="24">
        <f t="shared" si="177"/>
        <v>-289</v>
      </c>
      <c r="G274" s="21">
        <f t="shared" si="136"/>
        <v>-6.7936060178655389</v>
      </c>
      <c r="H274" s="24">
        <f t="shared" si="178"/>
        <v>-278</v>
      </c>
      <c r="I274" s="24">
        <f t="shared" si="178"/>
        <v>-11</v>
      </c>
    </row>
    <row r="275" spans="1:9" x14ac:dyDescent="0.2">
      <c r="A275" s="32" t="s">
        <v>29</v>
      </c>
      <c r="B275" s="73" t="s">
        <v>90</v>
      </c>
      <c r="C275" s="33" t="s">
        <v>224</v>
      </c>
      <c r="D275" s="35"/>
      <c r="E275" s="35"/>
      <c r="F275" s="35"/>
      <c r="G275" s="21" t="e">
        <f t="shared" si="136"/>
        <v>#DIV/0!</v>
      </c>
      <c r="H275" s="35"/>
      <c r="I275" s="35"/>
    </row>
    <row r="276" spans="1:9" x14ac:dyDescent="0.2">
      <c r="A276" s="32"/>
      <c r="B276" s="58" t="s">
        <v>189</v>
      </c>
      <c r="C276" s="59" t="s">
        <v>190</v>
      </c>
      <c r="D276" s="34">
        <v>3813</v>
      </c>
      <c r="E276" s="28">
        <f>'Buget 2024'!D276</f>
        <v>3553</v>
      </c>
      <c r="F276" s="29">
        <f t="shared" ref="F276:F277" si="179">E276-D276</f>
        <v>-260</v>
      </c>
      <c r="G276" s="21">
        <f t="shared" si="136"/>
        <v>-6.8187778651980073</v>
      </c>
      <c r="H276" s="27">
        <v>-249</v>
      </c>
      <c r="I276" s="27">
        <f t="shared" ref="I276:I277" si="180">F276-H276</f>
        <v>-11</v>
      </c>
    </row>
    <row r="277" spans="1:9" x14ac:dyDescent="0.2">
      <c r="A277" s="32"/>
      <c r="B277" s="60" t="s">
        <v>191</v>
      </c>
      <c r="C277" s="61" t="s">
        <v>192</v>
      </c>
      <c r="D277" s="34">
        <v>3813</v>
      </c>
      <c r="E277" s="28">
        <f>'Buget 2024'!D277</f>
        <v>3553</v>
      </c>
      <c r="F277" s="29">
        <f t="shared" si="179"/>
        <v>-260</v>
      </c>
      <c r="G277" s="21">
        <f t="shared" si="136"/>
        <v>-6.8187778651980073</v>
      </c>
      <c r="H277" s="27">
        <v>-249</v>
      </c>
      <c r="I277" s="27">
        <f t="shared" si="180"/>
        <v>-11</v>
      </c>
    </row>
    <row r="278" spans="1:9" x14ac:dyDescent="0.2">
      <c r="A278" s="32" t="s">
        <v>29</v>
      </c>
      <c r="B278" s="73" t="s">
        <v>91</v>
      </c>
      <c r="C278" s="33" t="s">
        <v>225</v>
      </c>
      <c r="D278" s="34"/>
      <c r="E278" s="35"/>
      <c r="F278" s="35"/>
      <c r="G278" s="21" t="e">
        <f t="shared" si="136"/>
        <v>#DIV/0!</v>
      </c>
      <c r="H278" s="34"/>
      <c r="I278" s="34"/>
    </row>
    <row r="279" spans="1:9" x14ac:dyDescent="0.2">
      <c r="A279" s="32"/>
      <c r="B279" s="58" t="s">
        <v>189</v>
      </c>
      <c r="C279" s="59" t="s">
        <v>190</v>
      </c>
      <c r="D279" s="34">
        <v>441</v>
      </c>
      <c r="E279" s="28">
        <f>'Buget 2024'!D279</f>
        <v>412</v>
      </c>
      <c r="F279" s="29">
        <f t="shared" ref="F279:F280" si="181">E279-D279</f>
        <v>-29</v>
      </c>
      <c r="G279" s="21">
        <f t="shared" si="136"/>
        <v>-6.5759637188208613</v>
      </c>
      <c r="H279" s="27">
        <v>-29</v>
      </c>
      <c r="I279" s="27">
        <f t="shared" ref="I279:I280" si="182">F279-H279</f>
        <v>0</v>
      </c>
    </row>
    <row r="280" spans="1:9" x14ac:dyDescent="0.2">
      <c r="A280" s="32"/>
      <c r="B280" s="60" t="s">
        <v>191</v>
      </c>
      <c r="C280" s="61" t="s">
        <v>192</v>
      </c>
      <c r="D280" s="34">
        <v>441</v>
      </c>
      <c r="E280" s="28">
        <f>'Buget 2024'!D280</f>
        <v>412</v>
      </c>
      <c r="F280" s="29">
        <f t="shared" si="181"/>
        <v>-29</v>
      </c>
      <c r="G280" s="21">
        <f t="shared" si="136"/>
        <v>-6.5759637188208613</v>
      </c>
      <c r="H280" s="27">
        <v>-29</v>
      </c>
      <c r="I280" s="27">
        <f t="shared" si="182"/>
        <v>0</v>
      </c>
    </row>
    <row r="281" spans="1:9" x14ac:dyDescent="0.2">
      <c r="A281" s="40" t="s">
        <v>29</v>
      </c>
      <c r="B281" s="76" t="s">
        <v>92</v>
      </c>
      <c r="C281" s="41" t="s">
        <v>93</v>
      </c>
      <c r="D281" s="77"/>
      <c r="E281" s="77"/>
      <c r="F281" s="77"/>
      <c r="G281" s="21" t="e">
        <f t="shared" ref="G281:G344" si="183">F281/D281*100</f>
        <v>#DIV/0!</v>
      </c>
      <c r="H281" s="77"/>
      <c r="I281" s="77"/>
    </row>
    <row r="282" spans="1:9" x14ac:dyDescent="0.2">
      <c r="A282" s="40"/>
      <c r="B282" s="22" t="s">
        <v>189</v>
      </c>
      <c r="C282" s="53" t="s">
        <v>190</v>
      </c>
      <c r="D282" s="77">
        <f>2232-100</f>
        <v>2132</v>
      </c>
      <c r="E282" s="77">
        <f>'Buget 2024'!D282</f>
        <v>2140</v>
      </c>
      <c r="F282" s="77">
        <f t="shared" ref="F282:F283" si="184">E282-D282</f>
        <v>8</v>
      </c>
      <c r="G282" s="21">
        <f t="shared" si="183"/>
        <v>0.37523452157598497</v>
      </c>
      <c r="H282" s="77">
        <v>42</v>
      </c>
      <c r="I282" s="77">
        <f t="shared" ref="I282:I283" si="185">F282-H282</f>
        <v>-34</v>
      </c>
    </row>
    <row r="283" spans="1:9" x14ac:dyDescent="0.2">
      <c r="A283" s="40"/>
      <c r="B283" s="22" t="s">
        <v>191</v>
      </c>
      <c r="C283" s="53" t="s">
        <v>192</v>
      </c>
      <c r="D283" s="77">
        <f>2232-100</f>
        <v>2132</v>
      </c>
      <c r="E283" s="77">
        <f>'Buget 2024'!D283</f>
        <v>2140</v>
      </c>
      <c r="F283" s="77">
        <f t="shared" si="184"/>
        <v>8</v>
      </c>
      <c r="G283" s="21">
        <f t="shared" si="183"/>
        <v>0.37523452157598497</v>
      </c>
      <c r="H283" s="77">
        <v>42</v>
      </c>
      <c r="I283" s="77">
        <f t="shared" si="185"/>
        <v>-34</v>
      </c>
    </row>
    <row r="284" spans="1:9" x14ac:dyDescent="0.2">
      <c r="A284" s="40" t="s">
        <v>29</v>
      </c>
      <c r="B284" s="76" t="s">
        <v>94</v>
      </c>
      <c r="C284" s="41" t="s">
        <v>226</v>
      </c>
      <c r="D284" s="77"/>
      <c r="E284" s="77"/>
      <c r="F284" s="77"/>
      <c r="G284" s="21" t="e">
        <f t="shared" si="183"/>
        <v>#DIV/0!</v>
      </c>
      <c r="H284" s="77"/>
      <c r="I284" s="77"/>
    </row>
    <row r="285" spans="1:9" x14ac:dyDescent="0.2">
      <c r="A285" s="40"/>
      <c r="B285" s="22" t="s">
        <v>189</v>
      </c>
      <c r="C285" s="53" t="s">
        <v>190</v>
      </c>
      <c r="D285" s="24">
        <f>431-23</f>
        <v>408</v>
      </c>
      <c r="E285" s="24">
        <f>'Buget 2024'!D285</f>
        <v>405</v>
      </c>
      <c r="F285" s="24">
        <f t="shared" ref="F285:F286" si="186">E285-D285</f>
        <v>-3</v>
      </c>
      <c r="G285" s="21">
        <f t="shared" si="183"/>
        <v>-0.73529411764705876</v>
      </c>
      <c r="H285" s="77">
        <v>-3</v>
      </c>
      <c r="I285" s="77">
        <f t="shared" ref="I285:I286" si="187">F285-H285</f>
        <v>0</v>
      </c>
    </row>
    <row r="286" spans="1:9" x14ac:dyDescent="0.2">
      <c r="A286" s="40"/>
      <c r="B286" s="22" t="s">
        <v>191</v>
      </c>
      <c r="C286" s="53" t="s">
        <v>192</v>
      </c>
      <c r="D286" s="24">
        <f>431-23</f>
        <v>408</v>
      </c>
      <c r="E286" s="24">
        <f>'Buget 2024'!D286</f>
        <v>405</v>
      </c>
      <c r="F286" s="24">
        <f t="shared" si="186"/>
        <v>-3</v>
      </c>
      <c r="G286" s="21">
        <f t="shared" si="183"/>
        <v>-0.73529411764705876</v>
      </c>
      <c r="H286" s="77">
        <v>-3</v>
      </c>
      <c r="I286" s="77">
        <f t="shared" si="187"/>
        <v>0</v>
      </c>
    </row>
    <row r="287" spans="1:9" x14ac:dyDescent="0.2">
      <c r="A287" s="40" t="s">
        <v>29</v>
      </c>
      <c r="B287" s="76" t="s">
        <v>95</v>
      </c>
      <c r="C287" s="41" t="s">
        <v>227</v>
      </c>
      <c r="D287" s="77"/>
      <c r="E287" s="77"/>
      <c r="F287" s="77"/>
      <c r="G287" s="21" t="e">
        <f t="shared" si="183"/>
        <v>#DIV/0!</v>
      </c>
      <c r="H287" s="77"/>
      <c r="I287" s="77"/>
    </row>
    <row r="288" spans="1:9" x14ac:dyDescent="0.2">
      <c r="A288" s="40"/>
      <c r="B288" s="22" t="s">
        <v>189</v>
      </c>
      <c r="C288" s="53" t="s">
        <v>190</v>
      </c>
      <c r="D288" s="24">
        <f>4540-95-36+250</f>
        <v>4659</v>
      </c>
      <c r="E288" s="24">
        <f>'Buget 2024'!D288</f>
        <v>5538</v>
      </c>
      <c r="F288" s="24">
        <f t="shared" ref="F288:F289" si="188">E288-D288</f>
        <v>879</v>
      </c>
      <c r="G288" s="21">
        <f t="shared" si="183"/>
        <v>18.866709594333546</v>
      </c>
      <c r="H288" s="77">
        <v>463</v>
      </c>
      <c r="I288" s="77">
        <f t="shared" ref="I288:I289" si="189">F288-H288</f>
        <v>416</v>
      </c>
    </row>
    <row r="289" spans="1:9" x14ac:dyDescent="0.2">
      <c r="A289" s="40"/>
      <c r="B289" s="22" t="s">
        <v>191</v>
      </c>
      <c r="C289" s="53" t="s">
        <v>192</v>
      </c>
      <c r="D289" s="24">
        <f>4540-95-36+250</f>
        <v>4659</v>
      </c>
      <c r="E289" s="24">
        <f>'Buget 2024'!D289</f>
        <v>5538</v>
      </c>
      <c r="F289" s="24">
        <f t="shared" si="188"/>
        <v>879</v>
      </c>
      <c r="G289" s="21">
        <f t="shared" si="183"/>
        <v>18.866709594333546</v>
      </c>
      <c r="H289" s="77">
        <v>463</v>
      </c>
      <c r="I289" s="77">
        <f t="shared" si="189"/>
        <v>416</v>
      </c>
    </row>
    <row r="290" spans="1:9" x14ac:dyDescent="0.2">
      <c r="A290" s="40" t="s">
        <v>29</v>
      </c>
      <c r="B290" s="76" t="s">
        <v>96</v>
      </c>
      <c r="C290" s="41" t="s">
        <v>228</v>
      </c>
      <c r="D290" s="77"/>
      <c r="E290" s="77"/>
      <c r="F290" s="77"/>
      <c r="G290" s="21" t="e">
        <f t="shared" si="183"/>
        <v>#DIV/0!</v>
      </c>
      <c r="H290" s="77"/>
      <c r="I290" s="77"/>
    </row>
    <row r="291" spans="1:9" x14ac:dyDescent="0.2">
      <c r="A291" s="40"/>
      <c r="B291" s="22" t="s">
        <v>189</v>
      </c>
      <c r="C291" s="53" t="s">
        <v>190</v>
      </c>
      <c r="D291" s="24">
        <v>2870</v>
      </c>
      <c r="E291" s="24">
        <f>'Buget 2024'!D291</f>
        <v>2740</v>
      </c>
      <c r="F291" s="24">
        <f t="shared" ref="F291:F292" si="190">E291-D291</f>
        <v>-130</v>
      </c>
      <c r="G291" s="21">
        <f t="shared" si="183"/>
        <v>-4.529616724738676</v>
      </c>
      <c r="H291" s="77">
        <v>-160</v>
      </c>
      <c r="I291" s="77">
        <f t="shared" ref="I291:I292" si="191">F291-H291</f>
        <v>30</v>
      </c>
    </row>
    <row r="292" spans="1:9" x14ac:dyDescent="0.2">
      <c r="A292" s="40"/>
      <c r="B292" s="22" t="s">
        <v>191</v>
      </c>
      <c r="C292" s="53" t="s">
        <v>192</v>
      </c>
      <c r="D292" s="24">
        <v>2870</v>
      </c>
      <c r="E292" s="24">
        <f>'Buget 2024'!D292</f>
        <v>2740</v>
      </c>
      <c r="F292" s="24">
        <f t="shared" si="190"/>
        <v>-130</v>
      </c>
      <c r="G292" s="21">
        <f t="shared" si="183"/>
        <v>-4.529616724738676</v>
      </c>
      <c r="H292" s="77">
        <v>-160</v>
      </c>
      <c r="I292" s="77">
        <f t="shared" si="191"/>
        <v>30</v>
      </c>
    </row>
    <row r="293" spans="1:9" x14ac:dyDescent="0.2">
      <c r="A293" s="40" t="s">
        <v>29</v>
      </c>
      <c r="B293" s="76" t="s">
        <v>97</v>
      </c>
      <c r="C293" s="41" t="s">
        <v>229</v>
      </c>
      <c r="D293" s="77"/>
      <c r="E293" s="77"/>
      <c r="F293" s="77"/>
      <c r="G293" s="21" t="e">
        <f t="shared" si="183"/>
        <v>#DIV/0!</v>
      </c>
      <c r="H293" s="77"/>
      <c r="I293" s="77"/>
    </row>
    <row r="294" spans="1:9" x14ac:dyDescent="0.2">
      <c r="A294" s="40"/>
      <c r="B294" s="22" t="s">
        <v>189</v>
      </c>
      <c r="C294" s="53" t="s">
        <v>190</v>
      </c>
      <c r="D294" s="24">
        <f>2811-11</f>
        <v>2800</v>
      </c>
      <c r="E294" s="24">
        <f>'Buget 2024'!D294</f>
        <v>2907</v>
      </c>
      <c r="F294" s="24">
        <f t="shared" ref="F294:F295" si="192">E294-D294</f>
        <v>107</v>
      </c>
      <c r="G294" s="21">
        <f t="shared" si="183"/>
        <v>3.8214285714285716</v>
      </c>
      <c r="H294" s="77">
        <v>115</v>
      </c>
      <c r="I294" s="77">
        <f t="shared" ref="I294:I295" si="193">F294-H294</f>
        <v>-8</v>
      </c>
    </row>
    <row r="295" spans="1:9" x14ac:dyDescent="0.2">
      <c r="A295" s="40"/>
      <c r="B295" s="22" t="s">
        <v>191</v>
      </c>
      <c r="C295" s="53" t="s">
        <v>192</v>
      </c>
      <c r="D295" s="24">
        <f>2811-11</f>
        <v>2800</v>
      </c>
      <c r="E295" s="24">
        <f>'Buget 2024'!D295</f>
        <v>2907</v>
      </c>
      <c r="F295" s="24">
        <f t="shared" si="192"/>
        <v>107</v>
      </c>
      <c r="G295" s="21">
        <f t="shared" si="183"/>
        <v>3.8214285714285716</v>
      </c>
      <c r="H295" s="77">
        <v>115</v>
      </c>
      <c r="I295" s="77">
        <f t="shared" si="193"/>
        <v>-8</v>
      </c>
    </row>
    <row r="296" spans="1:9" x14ac:dyDescent="0.2">
      <c r="A296" s="40" t="s">
        <v>29</v>
      </c>
      <c r="B296" s="76" t="s">
        <v>98</v>
      </c>
      <c r="C296" s="41" t="s">
        <v>230</v>
      </c>
      <c r="D296" s="77"/>
      <c r="E296" s="77"/>
      <c r="F296" s="77"/>
      <c r="G296" s="21" t="e">
        <f t="shared" si="183"/>
        <v>#DIV/0!</v>
      </c>
      <c r="H296" s="77"/>
      <c r="I296" s="77"/>
    </row>
    <row r="297" spans="1:9" x14ac:dyDescent="0.2">
      <c r="A297" s="40"/>
      <c r="B297" s="22" t="s">
        <v>189</v>
      </c>
      <c r="C297" s="53" t="s">
        <v>190</v>
      </c>
      <c r="D297" s="77">
        <f>7384-178</f>
        <v>7206</v>
      </c>
      <c r="E297" s="77">
        <f>'Buget 2024'!D297</f>
        <v>6810</v>
      </c>
      <c r="F297" s="77">
        <f t="shared" ref="F297:F298" si="194">E297-D297</f>
        <v>-396</v>
      </c>
      <c r="G297" s="21">
        <f t="shared" si="183"/>
        <v>-5.495420482930891</v>
      </c>
      <c r="H297" s="77">
        <v>-39</v>
      </c>
      <c r="I297" s="77">
        <f t="shared" ref="I297:I298" si="195">F297-H297</f>
        <v>-357</v>
      </c>
    </row>
    <row r="298" spans="1:9" x14ac:dyDescent="0.2">
      <c r="A298" s="40"/>
      <c r="B298" s="22" t="s">
        <v>191</v>
      </c>
      <c r="C298" s="53" t="s">
        <v>192</v>
      </c>
      <c r="D298" s="77">
        <f>7384-178</f>
        <v>7206</v>
      </c>
      <c r="E298" s="77">
        <f>'Buget 2024'!D298</f>
        <v>6810</v>
      </c>
      <c r="F298" s="77">
        <f t="shared" si="194"/>
        <v>-396</v>
      </c>
      <c r="G298" s="21">
        <f t="shared" si="183"/>
        <v>-5.495420482930891</v>
      </c>
      <c r="H298" s="77">
        <v>-39</v>
      </c>
      <c r="I298" s="77">
        <f t="shared" si="195"/>
        <v>-357</v>
      </c>
    </row>
    <row r="299" spans="1:9" x14ac:dyDescent="0.2">
      <c r="A299" s="40" t="s">
        <v>29</v>
      </c>
      <c r="B299" s="76" t="s">
        <v>99</v>
      </c>
      <c r="C299" s="41" t="s">
        <v>231</v>
      </c>
      <c r="D299" s="77"/>
      <c r="E299" s="77"/>
      <c r="F299" s="77"/>
      <c r="G299" s="21" t="e">
        <f t="shared" si="183"/>
        <v>#DIV/0!</v>
      </c>
      <c r="H299" s="77"/>
      <c r="I299" s="77"/>
    </row>
    <row r="300" spans="1:9" x14ac:dyDescent="0.2">
      <c r="A300" s="40"/>
      <c r="B300" s="22" t="s">
        <v>189</v>
      </c>
      <c r="C300" s="53" t="s">
        <v>190</v>
      </c>
      <c r="D300" s="24">
        <f>3055-595</f>
        <v>2460</v>
      </c>
      <c r="E300" s="24">
        <f>'Buget 2024'!D300</f>
        <v>2190</v>
      </c>
      <c r="F300" s="24">
        <f t="shared" ref="F300:F301" si="196">E300-D300</f>
        <v>-270</v>
      </c>
      <c r="G300" s="21">
        <f t="shared" si="183"/>
        <v>-10.975609756097562</v>
      </c>
      <c r="H300" s="77">
        <v>-270</v>
      </c>
      <c r="I300" s="77">
        <f t="shared" ref="I300:I301" si="197">F300-H300</f>
        <v>0</v>
      </c>
    </row>
    <row r="301" spans="1:9" x14ac:dyDescent="0.2">
      <c r="A301" s="40"/>
      <c r="B301" s="22" t="s">
        <v>191</v>
      </c>
      <c r="C301" s="53" t="s">
        <v>192</v>
      </c>
      <c r="D301" s="24">
        <f>3055-595</f>
        <v>2460</v>
      </c>
      <c r="E301" s="24">
        <f>'Buget 2024'!D301</f>
        <v>2190</v>
      </c>
      <c r="F301" s="24">
        <f t="shared" si="196"/>
        <v>-270</v>
      </c>
      <c r="G301" s="21">
        <f t="shared" si="183"/>
        <v>-10.975609756097562</v>
      </c>
      <c r="H301" s="77">
        <v>-270</v>
      </c>
      <c r="I301" s="77">
        <f t="shared" si="197"/>
        <v>0</v>
      </c>
    </row>
    <row r="302" spans="1:9" x14ac:dyDescent="0.2">
      <c r="A302" s="40" t="s">
        <v>29</v>
      </c>
      <c r="B302" s="76" t="s">
        <v>100</v>
      </c>
      <c r="C302" s="41" t="s">
        <v>232</v>
      </c>
      <c r="D302" s="24"/>
      <c r="E302" s="24"/>
      <c r="F302" s="24"/>
      <c r="G302" s="21" t="e">
        <f t="shared" si="183"/>
        <v>#DIV/0!</v>
      </c>
      <c r="H302" s="77"/>
      <c r="I302" s="77"/>
    </row>
    <row r="303" spans="1:9" x14ac:dyDescent="0.2">
      <c r="A303" s="40"/>
      <c r="B303" s="22" t="s">
        <v>189</v>
      </c>
      <c r="C303" s="53" t="s">
        <v>190</v>
      </c>
      <c r="D303" s="24">
        <v>2849</v>
      </c>
      <c r="E303" s="24">
        <f>'Buget 2024'!D303</f>
        <v>2963</v>
      </c>
      <c r="F303" s="24">
        <f t="shared" ref="F303:F304" si="198">E303-D303</f>
        <v>114</v>
      </c>
      <c r="G303" s="21">
        <f t="shared" si="183"/>
        <v>4.0014040014040013</v>
      </c>
      <c r="H303" s="77"/>
      <c r="I303" s="77">
        <f t="shared" ref="I303:I304" si="199">F303-H303</f>
        <v>114</v>
      </c>
    </row>
    <row r="304" spans="1:9" x14ac:dyDescent="0.2">
      <c r="A304" s="40"/>
      <c r="B304" s="22" t="s">
        <v>191</v>
      </c>
      <c r="C304" s="53" t="s">
        <v>192</v>
      </c>
      <c r="D304" s="24">
        <v>2849</v>
      </c>
      <c r="E304" s="24">
        <f>'Buget 2024'!D304</f>
        <v>2963</v>
      </c>
      <c r="F304" s="24">
        <f t="shared" si="198"/>
        <v>114</v>
      </c>
      <c r="G304" s="21">
        <f t="shared" si="183"/>
        <v>4.0014040014040013</v>
      </c>
      <c r="H304" s="77"/>
      <c r="I304" s="77">
        <f t="shared" si="199"/>
        <v>114</v>
      </c>
    </row>
    <row r="305" spans="1:9" hidden="1" x14ac:dyDescent="0.2">
      <c r="A305" s="22" t="s">
        <v>29</v>
      </c>
      <c r="B305" s="72" t="s">
        <v>101</v>
      </c>
      <c r="C305" s="23" t="s">
        <v>233</v>
      </c>
      <c r="D305" s="24"/>
      <c r="E305" s="24"/>
      <c r="F305" s="24"/>
      <c r="G305" s="21" t="e">
        <f t="shared" si="183"/>
        <v>#DIV/0!</v>
      </c>
      <c r="H305" s="77"/>
      <c r="I305" s="77"/>
    </row>
    <row r="306" spans="1:9" hidden="1" x14ac:dyDescent="0.2">
      <c r="A306" s="22"/>
      <c r="B306" s="22" t="s">
        <v>189</v>
      </c>
      <c r="C306" s="53" t="s">
        <v>190</v>
      </c>
      <c r="D306" s="24">
        <v>0</v>
      </c>
      <c r="E306" s="24">
        <f t="shared" ref="E306:F307" si="200">E309</f>
        <v>0</v>
      </c>
      <c r="F306" s="24">
        <f t="shared" si="200"/>
        <v>0</v>
      </c>
      <c r="G306" s="21" t="e">
        <f t="shared" si="183"/>
        <v>#DIV/0!</v>
      </c>
      <c r="H306" s="77">
        <v>0</v>
      </c>
      <c r="I306" s="77">
        <v>0</v>
      </c>
    </row>
    <row r="307" spans="1:9" hidden="1" x14ac:dyDescent="0.2">
      <c r="A307" s="22"/>
      <c r="B307" s="22" t="s">
        <v>191</v>
      </c>
      <c r="C307" s="53" t="s">
        <v>192</v>
      </c>
      <c r="D307" s="24">
        <v>0</v>
      </c>
      <c r="E307" s="24">
        <f t="shared" si="200"/>
        <v>0</v>
      </c>
      <c r="F307" s="24">
        <f t="shared" si="200"/>
        <v>0</v>
      </c>
      <c r="G307" s="21" t="e">
        <f t="shared" si="183"/>
        <v>#DIV/0!</v>
      </c>
      <c r="H307" s="77">
        <v>0</v>
      </c>
      <c r="I307" s="77">
        <v>0</v>
      </c>
    </row>
    <row r="308" spans="1:9" hidden="1" x14ac:dyDescent="0.2">
      <c r="A308" s="32" t="s">
        <v>29</v>
      </c>
      <c r="B308" s="73" t="s">
        <v>102</v>
      </c>
      <c r="C308" s="33" t="s">
        <v>234</v>
      </c>
      <c r="D308" s="28"/>
      <c r="E308" s="28"/>
      <c r="F308" s="28"/>
      <c r="G308" s="21" t="e">
        <f t="shared" si="183"/>
        <v>#DIV/0!</v>
      </c>
      <c r="H308" s="77"/>
      <c r="I308" s="77"/>
    </row>
    <row r="309" spans="1:9" hidden="1" x14ac:dyDescent="0.2">
      <c r="A309" s="32"/>
      <c r="B309" s="58" t="s">
        <v>189</v>
      </c>
      <c r="C309" s="59" t="s">
        <v>190</v>
      </c>
      <c r="D309" s="28">
        <v>0</v>
      </c>
      <c r="E309" s="28">
        <v>0</v>
      </c>
      <c r="F309" s="28">
        <v>0</v>
      </c>
      <c r="G309" s="21" t="e">
        <f t="shared" si="183"/>
        <v>#DIV/0!</v>
      </c>
      <c r="H309" s="77">
        <v>0</v>
      </c>
      <c r="I309" s="77">
        <v>0</v>
      </c>
    </row>
    <row r="310" spans="1:9" hidden="1" x14ac:dyDescent="0.2">
      <c r="A310" s="32"/>
      <c r="B310" s="60" t="s">
        <v>191</v>
      </c>
      <c r="C310" s="61" t="s">
        <v>192</v>
      </c>
      <c r="D310" s="28">
        <v>0</v>
      </c>
      <c r="E310" s="28">
        <v>0</v>
      </c>
      <c r="F310" s="28">
        <v>0</v>
      </c>
      <c r="G310" s="21" t="e">
        <f t="shared" si="183"/>
        <v>#DIV/0!</v>
      </c>
      <c r="H310" s="77">
        <v>0</v>
      </c>
      <c r="I310" s="77">
        <v>0</v>
      </c>
    </row>
    <row r="311" spans="1:9" ht="25.5" x14ac:dyDescent="0.2">
      <c r="A311" s="40" t="s">
        <v>29</v>
      </c>
      <c r="B311" s="76" t="s">
        <v>103</v>
      </c>
      <c r="C311" s="41" t="s">
        <v>235</v>
      </c>
      <c r="D311" s="24"/>
      <c r="E311" s="24"/>
      <c r="F311" s="24"/>
      <c r="G311" s="21" t="e">
        <f t="shared" si="183"/>
        <v>#DIV/0!</v>
      </c>
      <c r="H311" s="77"/>
      <c r="I311" s="77"/>
    </row>
    <row r="312" spans="1:9" x14ac:dyDescent="0.2">
      <c r="A312" s="40"/>
      <c r="B312" s="22" t="s">
        <v>189</v>
      </c>
      <c r="C312" s="53" t="s">
        <v>190</v>
      </c>
      <c r="D312" s="24">
        <f>5213+200</f>
        <v>5413</v>
      </c>
      <c r="E312" s="24">
        <f>'Buget 2024'!D312</f>
        <v>5258</v>
      </c>
      <c r="F312" s="24">
        <f t="shared" ref="F312:F313" si="201">E312-D312</f>
        <v>-155</v>
      </c>
      <c r="G312" s="21">
        <f t="shared" si="183"/>
        <v>-2.86347681507482</v>
      </c>
      <c r="H312" s="77">
        <v>-155</v>
      </c>
      <c r="I312" s="77">
        <f t="shared" ref="I312:I313" si="202">F312-H312</f>
        <v>0</v>
      </c>
    </row>
    <row r="313" spans="1:9" x14ac:dyDescent="0.2">
      <c r="A313" s="40"/>
      <c r="B313" s="22" t="s">
        <v>191</v>
      </c>
      <c r="C313" s="53" t="s">
        <v>192</v>
      </c>
      <c r="D313" s="24">
        <f>5213+200</f>
        <v>5413</v>
      </c>
      <c r="E313" s="24">
        <f>'Buget 2024'!D313</f>
        <v>5258</v>
      </c>
      <c r="F313" s="24">
        <f t="shared" si="201"/>
        <v>-155</v>
      </c>
      <c r="G313" s="21">
        <f t="shared" si="183"/>
        <v>-2.86347681507482</v>
      </c>
      <c r="H313" s="77">
        <v>-155</v>
      </c>
      <c r="I313" s="77">
        <f t="shared" si="202"/>
        <v>0</v>
      </c>
    </row>
    <row r="314" spans="1:9" x14ac:dyDescent="0.2">
      <c r="A314" s="22" t="s">
        <v>29</v>
      </c>
      <c r="B314" s="72" t="s">
        <v>104</v>
      </c>
      <c r="C314" s="23" t="s">
        <v>105</v>
      </c>
      <c r="D314" s="24"/>
      <c r="E314" s="24"/>
      <c r="F314" s="24"/>
      <c r="G314" s="21" t="e">
        <f t="shared" si="183"/>
        <v>#DIV/0!</v>
      </c>
      <c r="H314" s="77"/>
      <c r="I314" s="77"/>
    </row>
    <row r="315" spans="1:9" x14ac:dyDescent="0.2">
      <c r="A315" s="22"/>
      <c r="B315" s="22" t="s">
        <v>189</v>
      </c>
      <c r="C315" s="53" t="s">
        <v>190</v>
      </c>
      <c r="D315" s="24">
        <f t="shared" ref="D315:D316" si="203">D318+D321+D324+D327+D330+D333</f>
        <v>277930</v>
      </c>
      <c r="E315" s="24">
        <f t="shared" ref="E315:F316" si="204">E318+E321+E324+E327+E330+E333</f>
        <v>241415</v>
      </c>
      <c r="F315" s="24">
        <f t="shared" si="204"/>
        <v>-36515</v>
      </c>
      <c r="G315" s="21">
        <f t="shared" si="183"/>
        <v>-13.138200266254094</v>
      </c>
      <c r="H315" s="77">
        <f t="shared" ref="H315:I316" si="205">H318+H321+H324+H327+H330+H333</f>
        <v>-2775</v>
      </c>
      <c r="I315" s="77">
        <f t="shared" si="205"/>
        <v>-33740</v>
      </c>
    </row>
    <row r="316" spans="1:9" x14ac:dyDescent="0.2">
      <c r="A316" s="22"/>
      <c r="B316" s="22" t="s">
        <v>191</v>
      </c>
      <c r="C316" s="53" t="s">
        <v>192</v>
      </c>
      <c r="D316" s="24">
        <f t="shared" si="203"/>
        <v>277930</v>
      </c>
      <c r="E316" s="24">
        <f t="shared" si="204"/>
        <v>241415</v>
      </c>
      <c r="F316" s="24">
        <f>F319+F322+F325+F328+F331+F334</f>
        <v>-36515</v>
      </c>
      <c r="G316" s="21">
        <f t="shared" si="183"/>
        <v>-13.138200266254094</v>
      </c>
      <c r="H316" s="77">
        <f t="shared" si="205"/>
        <v>-2775</v>
      </c>
      <c r="I316" s="77">
        <f t="shared" si="205"/>
        <v>-33740</v>
      </c>
    </row>
    <row r="317" spans="1:9" x14ac:dyDescent="0.2">
      <c r="A317" s="32" t="s">
        <v>29</v>
      </c>
      <c r="B317" s="73" t="s">
        <v>106</v>
      </c>
      <c r="C317" s="33" t="s">
        <v>236</v>
      </c>
      <c r="D317" s="35"/>
      <c r="E317" s="35"/>
      <c r="F317" s="35"/>
      <c r="G317" s="21" t="e">
        <f t="shared" si="183"/>
        <v>#DIV/0!</v>
      </c>
      <c r="H317" s="35"/>
      <c r="I317" s="35"/>
    </row>
    <row r="318" spans="1:9" x14ac:dyDescent="0.2">
      <c r="A318" s="32"/>
      <c r="B318" s="58" t="s">
        <v>189</v>
      </c>
      <c r="C318" s="59" t="s">
        <v>190</v>
      </c>
      <c r="D318" s="34">
        <f>2045-423</f>
        <v>1622</v>
      </c>
      <c r="E318" s="28">
        <f>'Buget 2024'!D318</f>
        <v>1636</v>
      </c>
      <c r="F318" s="29">
        <f t="shared" ref="F318:F319" si="206">E318-D318</f>
        <v>14</v>
      </c>
      <c r="G318" s="21">
        <f t="shared" si="183"/>
        <v>0.86313193588162751</v>
      </c>
      <c r="H318" s="27">
        <v>-15</v>
      </c>
      <c r="I318" s="27">
        <f t="shared" ref="I318:I319" si="207">F318-H318</f>
        <v>29</v>
      </c>
    </row>
    <row r="319" spans="1:9" x14ac:dyDescent="0.2">
      <c r="A319" s="32"/>
      <c r="B319" s="60" t="s">
        <v>191</v>
      </c>
      <c r="C319" s="61" t="s">
        <v>192</v>
      </c>
      <c r="D319" s="28">
        <f>2045-423</f>
        <v>1622</v>
      </c>
      <c r="E319" s="28">
        <f>'Buget 2024'!D319</f>
        <v>1636</v>
      </c>
      <c r="F319" s="29">
        <f t="shared" si="206"/>
        <v>14</v>
      </c>
      <c r="G319" s="21">
        <f t="shared" si="183"/>
        <v>0.86313193588162751</v>
      </c>
      <c r="H319" s="27">
        <v>-15</v>
      </c>
      <c r="I319" s="27">
        <f t="shared" si="207"/>
        <v>29</v>
      </c>
    </row>
    <row r="320" spans="1:9" x14ac:dyDescent="0.2">
      <c r="A320" s="32" t="s">
        <v>29</v>
      </c>
      <c r="B320" s="73" t="s">
        <v>107</v>
      </c>
      <c r="C320" s="33" t="s">
        <v>237</v>
      </c>
      <c r="D320" s="34"/>
      <c r="E320" s="35"/>
      <c r="F320" s="35"/>
      <c r="G320" s="21" t="e">
        <f t="shared" si="183"/>
        <v>#DIV/0!</v>
      </c>
      <c r="H320" s="34"/>
      <c r="I320" s="34"/>
    </row>
    <row r="321" spans="1:9" x14ac:dyDescent="0.2">
      <c r="A321" s="32"/>
      <c r="B321" s="58" t="s">
        <v>189</v>
      </c>
      <c r="C321" s="59" t="s">
        <v>190</v>
      </c>
      <c r="D321" s="34">
        <f>1982-24</f>
        <v>1958</v>
      </c>
      <c r="E321" s="28">
        <f>'Buget 2024'!D321</f>
        <v>1979</v>
      </c>
      <c r="F321" s="29">
        <f t="shared" ref="F321:F322" si="208">E321-D321</f>
        <v>21</v>
      </c>
      <c r="G321" s="21">
        <f t="shared" si="183"/>
        <v>1.0725229826353422</v>
      </c>
      <c r="H321" s="27">
        <v>-29</v>
      </c>
      <c r="I321" s="27">
        <f t="shared" ref="I321:I322" si="209">F321-H321</f>
        <v>50</v>
      </c>
    </row>
    <row r="322" spans="1:9" x14ac:dyDescent="0.2">
      <c r="A322" s="32"/>
      <c r="B322" s="60" t="s">
        <v>191</v>
      </c>
      <c r="C322" s="61" t="s">
        <v>192</v>
      </c>
      <c r="D322" s="28">
        <f>1982-24</f>
        <v>1958</v>
      </c>
      <c r="E322" s="28">
        <f>'Buget 2024'!D322</f>
        <v>1979</v>
      </c>
      <c r="F322" s="29">
        <f t="shared" si="208"/>
        <v>21</v>
      </c>
      <c r="G322" s="21">
        <f t="shared" si="183"/>
        <v>1.0725229826353422</v>
      </c>
      <c r="H322" s="27">
        <v>-29</v>
      </c>
      <c r="I322" s="27">
        <f t="shared" si="209"/>
        <v>50</v>
      </c>
    </row>
    <row r="323" spans="1:9" x14ac:dyDescent="0.2">
      <c r="A323" s="32" t="s">
        <v>29</v>
      </c>
      <c r="B323" s="73" t="s">
        <v>108</v>
      </c>
      <c r="C323" s="33" t="s">
        <v>238</v>
      </c>
      <c r="D323" s="34"/>
      <c r="E323" s="35"/>
      <c r="F323" s="35"/>
      <c r="G323" s="21" t="e">
        <f t="shared" si="183"/>
        <v>#DIV/0!</v>
      </c>
      <c r="H323" s="34"/>
      <c r="I323" s="34"/>
    </row>
    <row r="324" spans="1:9" x14ac:dyDescent="0.2">
      <c r="A324" s="32"/>
      <c r="B324" s="58" t="s">
        <v>189</v>
      </c>
      <c r="C324" s="59" t="s">
        <v>190</v>
      </c>
      <c r="D324" s="34">
        <f>3895-13</f>
        <v>3882</v>
      </c>
      <c r="E324" s="28">
        <f>'Buget 2024'!D324</f>
        <v>3896</v>
      </c>
      <c r="F324" s="29">
        <f t="shared" ref="F324:F325" si="210">E324-D324</f>
        <v>14</v>
      </c>
      <c r="G324" s="21">
        <f t="shared" si="183"/>
        <v>0.36063884595569295</v>
      </c>
      <c r="H324" s="27">
        <v>14</v>
      </c>
      <c r="I324" s="27">
        <f t="shared" ref="I324:I325" si="211">F324-H324</f>
        <v>0</v>
      </c>
    </row>
    <row r="325" spans="1:9" x14ac:dyDescent="0.2">
      <c r="A325" s="32"/>
      <c r="B325" s="60" t="s">
        <v>191</v>
      </c>
      <c r="C325" s="61" t="s">
        <v>192</v>
      </c>
      <c r="D325" s="28">
        <f>3895-13</f>
        <v>3882</v>
      </c>
      <c r="E325" s="28">
        <f>'Buget 2024'!D325</f>
        <v>3896</v>
      </c>
      <c r="F325" s="29">
        <f t="shared" si="210"/>
        <v>14</v>
      </c>
      <c r="G325" s="21">
        <f t="shared" si="183"/>
        <v>0.36063884595569295</v>
      </c>
      <c r="H325" s="27">
        <v>14</v>
      </c>
      <c r="I325" s="27">
        <f t="shared" si="211"/>
        <v>0</v>
      </c>
    </row>
    <row r="326" spans="1:9" x14ac:dyDescent="0.2">
      <c r="A326" s="32" t="s">
        <v>29</v>
      </c>
      <c r="B326" s="73" t="s">
        <v>109</v>
      </c>
      <c r="C326" s="33" t="s">
        <v>110</v>
      </c>
      <c r="D326" s="34"/>
      <c r="E326" s="35"/>
      <c r="F326" s="35"/>
      <c r="G326" s="21" t="e">
        <f t="shared" si="183"/>
        <v>#DIV/0!</v>
      </c>
      <c r="H326" s="34"/>
      <c r="I326" s="34"/>
    </row>
    <row r="327" spans="1:9" x14ac:dyDescent="0.2">
      <c r="A327" s="32"/>
      <c r="B327" s="58" t="s">
        <v>189</v>
      </c>
      <c r="C327" s="59" t="s">
        <v>190</v>
      </c>
      <c r="D327" s="34">
        <v>4600</v>
      </c>
      <c r="E327" s="28">
        <f>'Buget 2024'!D327</f>
        <v>4811</v>
      </c>
      <c r="F327" s="29">
        <f t="shared" ref="F327:F328" si="212">E327-D327</f>
        <v>211</v>
      </c>
      <c r="G327" s="21">
        <f t="shared" si="183"/>
        <v>4.5869565217391308</v>
      </c>
      <c r="H327" s="27">
        <v>201</v>
      </c>
      <c r="I327" s="27">
        <f t="shared" ref="I327:I328" si="213">F327-H327</f>
        <v>10</v>
      </c>
    </row>
    <row r="328" spans="1:9" x14ac:dyDescent="0.2">
      <c r="A328" s="32"/>
      <c r="B328" s="60" t="s">
        <v>191</v>
      </c>
      <c r="C328" s="61" t="s">
        <v>192</v>
      </c>
      <c r="D328" s="28">
        <v>4600</v>
      </c>
      <c r="E328" s="28">
        <f>'Buget 2024'!D328</f>
        <v>4811</v>
      </c>
      <c r="F328" s="29">
        <f t="shared" si="212"/>
        <v>211</v>
      </c>
      <c r="G328" s="21">
        <f t="shared" si="183"/>
        <v>4.5869565217391308</v>
      </c>
      <c r="H328" s="27">
        <v>201</v>
      </c>
      <c r="I328" s="27">
        <f t="shared" si="213"/>
        <v>10</v>
      </c>
    </row>
    <row r="329" spans="1:9" x14ac:dyDescent="0.2">
      <c r="A329" s="32" t="s">
        <v>29</v>
      </c>
      <c r="B329" s="73" t="s">
        <v>111</v>
      </c>
      <c r="C329" s="33" t="s">
        <v>239</v>
      </c>
      <c r="D329" s="34"/>
      <c r="E329" s="35"/>
      <c r="F329" s="35"/>
      <c r="G329" s="21" t="e">
        <f t="shared" si="183"/>
        <v>#DIV/0!</v>
      </c>
      <c r="H329" s="34"/>
      <c r="I329" s="34"/>
    </row>
    <row r="330" spans="1:9" x14ac:dyDescent="0.2">
      <c r="A330" s="32"/>
      <c r="B330" s="58" t="s">
        <v>189</v>
      </c>
      <c r="C330" s="59" t="s">
        <v>190</v>
      </c>
      <c r="D330" s="34">
        <v>17</v>
      </c>
      <c r="E330" s="28">
        <f>'Buget 2024'!D330</f>
        <v>17</v>
      </c>
      <c r="F330" s="29">
        <f t="shared" ref="F330:F331" si="214">E330-D330</f>
        <v>0</v>
      </c>
      <c r="G330" s="21">
        <f t="shared" si="183"/>
        <v>0</v>
      </c>
      <c r="H330" s="27"/>
      <c r="I330" s="27">
        <f t="shared" ref="I330:I331" si="215">F330-H330</f>
        <v>0</v>
      </c>
    </row>
    <row r="331" spans="1:9" x14ac:dyDescent="0.2">
      <c r="A331" s="32"/>
      <c r="B331" s="60" t="s">
        <v>191</v>
      </c>
      <c r="C331" s="61" t="s">
        <v>192</v>
      </c>
      <c r="D331" s="28">
        <v>17</v>
      </c>
      <c r="E331" s="28">
        <f>'Buget 2024'!D331</f>
        <v>17</v>
      </c>
      <c r="F331" s="29">
        <f t="shared" si="214"/>
        <v>0</v>
      </c>
      <c r="G331" s="21">
        <f t="shared" si="183"/>
        <v>0</v>
      </c>
      <c r="H331" s="27"/>
      <c r="I331" s="27">
        <f t="shared" si="215"/>
        <v>0</v>
      </c>
    </row>
    <row r="332" spans="1:9" x14ac:dyDescent="0.2">
      <c r="A332" s="32" t="s">
        <v>29</v>
      </c>
      <c r="B332" s="73" t="s">
        <v>112</v>
      </c>
      <c r="C332" s="33" t="s">
        <v>181</v>
      </c>
      <c r="D332" s="34"/>
      <c r="E332" s="35"/>
      <c r="F332" s="35"/>
      <c r="G332" s="21" t="e">
        <f t="shared" si="183"/>
        <v>#DIV/0!</v>
      </c>
      <c r="H332" s="34"/>
      <c r="I332" s="34"/>
    </row>
    <row r="333" spans="1:9" x14ac:dyDescent="0.2">
      <c r="A333" s="32"/>
      <c r="B333" s="58" t="s">
        <v>189</v>
      </c>
      <c r="C333" s="59" t="s">
        <v>190</v>
      </c>
      <c r="D333" s="34">
        <f>265464+1872+36-1071-250-200</f>
        <v>265851</v>
      </c>
      <c r="E333" s="28">
        <f>'Buget 2024'!D333</f>
        <v>229076</v>
      </c>
      <c r="F333" s="29">
        <f t="shared" ref="F333:F334" si="216">E333-D333</f>
        <v>-36775</v>
      </c>
      <c r="G333" s="21">
        <f t="shared" si="183"/>
        <v>-13.83293649450256</v>
      </c>
      <c r="H333" s="27">
        <v>-2946</v>
      </c>
      <c r="I333" s="27">
        <f t="shared" ref="I333:I334" si="217">F333-H333</f>
        <v>-33829</v>
      </c>
    </row>
    <row r="334" spans="1:9" x14ac:dyDescent="0.2">
      <c r="A334" s="32"/>
      <c r="B334" s="60" t="s">
        <v>191</v>
      </c>
      <c r="C334" s="61" t="s">
        <v>192</v>
      </c>
      <c r="D334" s="34">
        <f>265464+1872+36-1071-250-200</f>
        <v>265851</v>
      </c>
      <c r="E334" s="28">
        <f>'Buget 2024'!D334</f>
        <v>229076</v>
      </c>
      <c r="F334" s="29">
        <f t="shared" si="216"/>
        <v>-36775</v>
      </c>
      <c r="G334" s="21">
        <f t="shared" si="183"/>
        <v>-13.83293649450256</v>
      </c>
      <c r="H334" s="27">
        <v>-2946</v>
      </c>
      <c r="I334" s="27">
        <f t="shared" si="217"/>
        <v>-33829</v>
      </c>
    </row>
    <row r="335" spans="1:9" ht="25.5" x14ac:dyDescent="0.2">
      <c r="A335" s="54" t="s">
        <v>29</v>
      </c>
      <c r="B335" s="54">
        <v>56</v>
      </c>
      <c r="C335" s="79" t="s">
        <v>194</v>
      </c>
      <c r="D335" s="80"/>
      <c r="E335" s="80"/>
      <c r="F335" s="80"/>
      <c r="G335" s="21" t="e">
        <f t="shared" si="183"/>
        <v>#DIV/0!</v>
      </c>
      <c r="H335" s="80"/>
      <c r="I335" s="80"/>
    </row>
    <row r="336" spans="1:9" x14ac:dyDescent="0.2">
      <c r="A336" s="54"/>
      <c r="B336" s="22" t="s">
        <v>189</v>
      </c>
      <c r="C336" s="53" t="s">
        <v>190</v>
      </c>
      <c r="D336" s="80">
        <f>D339+D351+D357</f>
        <v>8254</v>
      </c>
      <c r="E336" s="80">
        <f t="shared" ref="E336:F337" si="218">E339+E351+E357</f>
        <v>8617</v>
      </c>
      <c r="F336" s="80">
        <f t="shared" si="218"/>
        <v>363</v>
      </c>
      <c r="G336" s="21">
        <f t="shared" si="183"/>
        <v>4.3978677005088445</v>
      </c>
      <c r="H336" s="80">
        <f>H339+H351+H357</f>
        <v>0</v>
      </c>
      <c r="I336" s="80">
        <f>I339+I351+I357</f>
        <v>363</v>
      </c>
    </row>
    <row r="337" spans="1:9" x14ac:dyDescent="0.2">
      <c r="A337" s="54"/>
      <c r="B337" s="22" t="s">
        <v>191</v>
      </c>
      <c r="C337" s="53" t="s">
        <v>192</v>
      </c>
      <c r="D337" s="80">
        <f>D340+D352+D358</f>
        <v>5874</v>
      </c>
      <c r="E337" s="80">
        <f t="shared" si="218"/>
        <v>6237</v>
      </c>
      <c r="F337" s="80">
        <f t="shared" si="218"/>
        <v>363</v>
      </c>
      <c r="G337" s="21">
        <f t="shared" si="183"/>
        <v>6.179775280898876</v>
      </c>
      <c r="H337" s="80">
        <f>H340+H352+H358</f>
        <v>0</v>
      </c>
      <c r="I337" s="80">
        <f>I340+I352+I358</f>
        <v>363</v>
      </c>
    </row>
    <row r="338" spans="1:9" ht="25.5" x14ac:dyDescent="0.2">
      <c r="A338" s="81" t="s">
        <v>29</v>
      </c>
      <c r="B338" s="81" t="s">
        <v>332</v>
      </c>
      <c r="C338" s="82" t="s">
        <v>333</v>
      </c>
      <c r="D338" s="83"/>
      <c r="E338" s="83"/>
      <c r="F338" s="83"/>
      <c r="G338" s="21" t="e">
        <f t="shared" si="183"/>
        <v>#DIV/0!</v>
      </c>
      <c r="H338" s="83"/>
      <c r="I338" s="83"/>
    </row>
    <row r="339" spans="1:9" x14ac:dyDescent="0.2">
      <c r="A339" s="81"/>
      <c r="B339" s="22" t="s">
        <v>189</v>
      </c>
      <c r="C339" s="53" t="s">
        <v>190</v>
      </c>
      <c r="D339" s="83">
        <f t="shared" ref="D339:D340" si="219">D342+D345+D348</f>
        <v>6890</v>
      </c>
      <c r="E339" s="83">
        <f t="shared" ref="E339:F340" si="220">E342+E345+E348</f>
        <v>6890</v>
      </c>
      <c r="F339" s="83">
        <f t="shared" si="220"/>
        <v>0</v>
      </c>
      <c r="G339" s="21">
        <f t="shared" si="183"/>
        <v>0</v>
      </c>
      <c r="H339" s="83">
        <f t="shared" ref="H339:I340" si="221">H342+H345+H348</f>
        <v>0</v>
      </c>
      <c r="I339" s="83">
        <f t="shared" si="221"/>
        <v>0</v>
      </c>
    </row>
    <row r="340" spans="1:9" x14ac:dyDescent="0.2">
      <c r="A340" s="81"/>
      <c r="B340" s="22" t="s">
        <v>191</v>
      </c>
      <c r="C340" s="53" t="s">
        <v>192</v>
      </c>
      <c r="D340" s="83">
        <f t="shared" si="219"/>
        <v>4510</v>
      </c>
      <c r="E340" s="83">
        <f t="shared" si="220"/>
        <v>4510</v>
      </c>
      <c r="F340" s="83">
        <f t="shared" si="220"/>
        <v>0</v>
      </c>
      <c r="G340" s="21">
        <f t="shared" si="183"/>
        <v>0</v>
      </c>
      <c r="H340" s="83">
        <f t="shared" si="221"/>
        <v>0</v>
      </c>
      <c r="I340" s="83">
        <f t="shared" si="221"/>
        <v>0</v>
      </c>
    </row>
    <row r="341" spans="1:9" x14ac:dyDescent="0.2">
      <c r="A341" s="84" t="s">
        <v>29</v>
      </c>
      <c r="B341" s="84" t="s">
        <v>334</v>
      </c>
      <c r="C341" s="69" t="s">
        <v>240</v>
      </c>
      <c r="D341" s="71"/>
      <c r="E341" s="71"/>
      <c r="F341" s="71"/>
      <c r="G341" s="21" t="e">
        <f t="shared" si="183"/>
        <v>#DIV/0!</v>
      </c>
      <c r="H341" s="71"/>
      <c r="I341" s="71"/>
    </row>
    <row r="342" spans="1:9" x14ac:dyDescent="0.2">
      <c r="A342" s="84"/>
      <c r="B342" s="58" t="s">
        <v>189</v>
      </c>
      <c r="C342" s="59" t="s">
        <v>190</v>
      </c>
      <c r="D342" s="35">
        <v>1017</v>
      </c>
      <c r="E342" s="28">
        <f>'Buget 2024'!D342</f>
        <v>1017</v>
      </c>
      <c r="F342" s="29">
        <f t="shared" ref="F342:F343" si="222">E342-D342</f>
        <v>0</v>
      </c>
      <c r="G342" s="21">
        <f t="shared" si="183"/>
        <v>0</v>
      </c>
      <c r="H342" s="27"/>
      <c r="I342" s="27">
        <f t="shared" ref="I342:I343" si="223">F342-H342</f>
        <v>0</v>
      </c>
    </row>
    <row r="343" spans="1:9" x14ac:dyDescent="0.2">
      <c r="A343" s="84"/>
      <c r="B343" s="60" t="s">
        <v>191</v>
      </c>
      <c r="C343" s="61" t="s">
        <v>192</v>
      </c>
      <c r="D343" s="27">
        <v>589</v>
      </c>
      <c r="E343" s="28">
        <f>'Buget 2024'!D343</f>
        <v>589</v>
      </c>
      <c r="F343" s="29">
        <f t="shared" si="222"/>
        <v>0</v>
      </c>
      <c r="G343" s="21">
        <f t="shared" si="183"/>
        <v>0</v>
      </c>
      <c r="H343" s="27"/>
      <c r="I343" s="27">
        <f t="shared" si="223"/>
        <v>0</v>
      </c>
    </row>
    <row r="344" spans="1:9" x14ac:dyDescent="0.2">
      <c r="A344" s="58" t="s">
        <v>29</v>
      </c>
      <c r="B344" s="58" t="s">
        <v>335</v>
      </c>
      <c r="C344" s="85" t="s">
        <v>243</v>
      </c>
      <c r="D344" s="86"/>
      <c r="E344" s="86"/>
      <c r="F344" s="86"/>
      <c r="G344" s="21" t="e">
        <f t="shared" si="183"/>
        <v>#DIV/0!</v>
      </c>
      <c r="H344" s="86"/>
      <c r="I344" s="86"/>
    </row>
    <row r="345" spans="1:9" x14ac:dyDescent="0.2">
      <c r="A345" s="58"/>
      <c r="B345" s="58" t="s">
        <v>189</v>
      </c>
      <c r="C345" s="59" t="s">
        <v>190</v>
      </c>
      <c r="D345" s="35">
        <v>5748</v>
      </c>
      <c r="E345" s="28">
        <f>'Buget 2024'!D345</f>
        <v>5748</v>
      </c>
      <c r="F345" s="29">
        <f t="shared" ref="F345:F346" si="224">E345-D345</f>
        <v>0</v>
      </c>
      <c r="G345" s="21">
        <f t="shared" ref="G345:G408" si="225">F345/D345*100</f>
        <v>0</v>
      </c>
      <c r="H345" s="27"/>
      <c r="I345" s="27">
        <f t="shared" ref="I345:I346" si="226">F345-H345</f>
        <v>0</v>
      </c>
    </row>
    <row r="346" spans="1:9" x14ac:dyDescent="0.2">
      <c r="A346" s="58"/>
      <c r="B346" s="60" t="s">
        <v>191</v>
      </c>
      <c r="C346" s="61" t="s">
        <v>192</v>
      </c>
      <c r="D346" s="27">
        <v>3844</v>
      </c>
      <c r="E346" s="28">
        <f>'Buget 2024'!D346</f>
        <v>3844</v>
      </c>
      <c r="F346" s="29">
        <f t="shared" si="224"/>
        <v>0</v>
      </c>
      <c r="G346" s="21">
        <f t="shared" si="225"/>
        <v>0</v>
      </c>
      <c r="H346" s="27"/>
      <c r="I346" s="27">
        <f t="shared" si="226"/>
        <v>0</v>
      </c>
    </row>
    <row r="347" spans="1:9" x14ac:dyDescent="0.2">
      <c r="A347" s="58" t="s">
        <v>29</v>
      </c>
      <c r="B347" s="58" t="s">
        <v>336</v>
      </c>
      <c r="C347" s="85" t="s">
        <v>114</v>
      </c>
      <c r="D347" s="86"/>
      <c r="E347" s="86"/>
      <c r="F347" s="86"/>
      <c r="G347" s="21" t="e">
        <f t="shared" si="225"/>
        <v>#DIV/0!</v>
      </c>
      <c r="H347" s="86"/>
      <c r="I347" s="86"/>
    </row>
    <row r="348" spans="1:9" x14ac:dyDescent="0.2">
      <c r="A348" s="58"/>
      <c r="B348" s="58" t="s">
        <v>189</v>
      </c>
      <c r="C348" s="59" t="s">
        <v>190</v>
      </c>
      <c r="D348" s="35">
        <v>125</v>
      </c>
      <c r="E348" s="28">
        <f>'Buget 2024'!D348</f>
        <v>125</v>
      </c>
      <c r="F348" s="29">
        <f t="shared" ref="F348:F349" si="227">E348-D348</f>
        <v>0</v>
      </c>
      <c r="G348" s="21">
        <f t="shared" si="225"/>
        <v>0</v>
      </c>
      <c r="H348" s="27"/>
      <c r="I348" s="27">
        <f t="shared" ref="I348:I349" si="228">F348-H348</f>
        <v>0</v>
      </c>
    </row>
    <row r="349" spans="1:9" x14ac:dyDescent="0.2">
      <c r="A349" s="58"/>
      <c r="B349" s="60" t="s">
        <v>191</v>
      </c>
      <c r="C349" s="61" t="s">
        <v>192</v>
      </c>
      <c r="D349" s="27">
        <v>77</v>
      </c>
      <c r="E349" s="28">
        <f>'Buget 2024'!D349</f>
        <v>77</v>
      </c>
      <c r="F349" s="29">
        <f t="shared" si="227"/>
        <v>0</v>
      </c>
      <c r="G349" s="21">
        <f t="shared" si="225"/>
        <v>0</v>
      </c>
      <c r="H349" s="27"/>
      <c r="I349" s="27">
        <f t="shared" si="228"/>
        <v>0</v>
      </c>
    </row>
    <row r="350" spans="1:9" ht="38.25" x14ac:dyDescent="0.2">
      <c r="A350" s="81" t="s">
        <v>29</v>
      </c>
      <c r="B350" s="81" t="s">
        <v>380</v>
      </c>
      <c r="C350" s="82" t="s">
        <v>382</v>
      </c>
      <c r="D350" s="83"/>
      <c r="E350" s="83"/>
      <c r="F350" s="83"/>
      <c r="G350" s="21" t="e">
        <f t="shared" si="225"/>
        <v>#DIV/0!</v>
      </c>
      <c r="H350" s="83"/>
      <c r="I350" s="83"/>
    </row>
    <row r="351" spans="1:9" x14ac:dyDescent="0.2">
      <c r="A351" s="81"/>
      <c r="B351" s="22" t="s">
        <v>189</v>
      </c>
      <c r="C351" s="53" t="s">
        <v>190</v>
      </c>
      <c r="D351" s="83">
        <f>D354</f>
        <v>515</v>
      </c>
      <c r="E351" s="83">
        <f t="shared" ref="E351:F351" si="229">E354</f>
        <v>0</v>
      </c>
      <c r="F351" s="83">
        <f t="shared" si="229"/>
        <v>-515</v>
      </c>
      <c r="G351" s="21">
        <f t="shared" si="225"/>
        <v>-100</v>
      </c>
      <c r="H351" s="83">
        <f>H354</f>
        <v>-515</v>
      </c>
      <c r="I351" s="83">
        <f>I354</f>
        <v>0</v>
      </c>
    </row>
    <row r="352" spans="1:9" x14ac:dyDescent="0.2">
      <c r="A352" s="81"/>
      <c r="B352" s="22" t="s">
        <v>191</v>
      </c>
      <c r="C352" s="53" t="s">
        <v>192</v>
      </c>
      <c r="D352" s="83">
        <f>D355</f>
        <v>515</v>
      </c>
      <c r="E352" s="83">
        <f t="shared" ref="E352:F352" si="230">E355</f>
        <v>0</v>
      </c>
      <c r="F352" s="83">
        <f t="shared" si="230"/>
        <v>-515</v>
      </c>
      <c r="G352" s="21">
        <f t="shared" si="225"/>
        <v>-100</v>
      </c>
      <c r="H352" s="83">
        <f>H355</f>
        <v>-515</v>
      </c>
      <c r="I352" s="83">
        <f>I355</f>
        <v>0</v>
      </c>
    </row>
    <row r="353" spans="1:9" x14ac:dyDescent="0.2">
      <c r="A353" s="58" t="s">
        <v>29</v>
      </c>
      <c r="B353" s="58" t="s">
        <v>381</v>
      </c>
      <c r="C353" s="85" t="s">
        <v>243</v>
      </c>
      <c r="D353" s="86"/>
      <c r="E353" s="28"/>
      <c r="F353" s="29">
        <f t="shared" ref="F353" si="231">E353-D353</f>
        <v>0</v>
      </c>
      <c r="G353" s="21" t="e">
        <f t="shared" si="225"/>
        <v>#DIV/0!</v>
      </c>
      <c r="H353" s="86"/>
      <c r="I353" s="86"/>
    </row>
    <row r="354" spans="1:9" x14ac:dyDescent="0.2">
      <c r="A354" s="58"/>
      <c r="B354" s="58" t="s">
        <v>189</v>
      </c>
      <c r="C354" s="59" t="s">
        <v>190</v>
      </c>
      <c r="D354" s="35">
        <f>515</f>
        <v>515</v>
      </c>
      <c r="E354" s="28">
        <f>'Buget 2024'!D354</f>
        <v>0</v>
      </c>
      <c r="F354" s="29">
        <f t="shared" ref="F354:F355" si="232">E354-D354</f>
        <v>-515</v>
      </c>
      <c r="G354" s="21">
        <f t="shared" si="225"/>
        <v>-100</v>
      </c>
      <c r="H354" s="27">
        <v>-515</v>
      </c>
      <c r="I354" s="27">
        <f t="shared" ref="I354:I355" si="233">F354-H354</f>
        <v>0</v>
      </c>
    </row>
    <row r="355" spans="1:9" x14ac:dyDescent="0.2">
      <c r="A355" s="58"/>
      <c r="B355" s="60" t="s">
        <v>191</v>
      </c>
      <c r="C355" s="61" t="s">
        <v>192</v>
      </c>
      <c r="D355" s="27">
        <f>515</f>
        <v>515</v>
      </c>
      <c r="E355" s="28">
        <f>'Buget 2024'!D355</f>
        <v>0</v>
      </c>
      <c r="F355" s="29">
        <f t="shared" si="232"/>
        <v>-515</v>
      </c>
      <c r="G355" s="21">
        <f t="shared" si="225"/>
        <v>-100</v>
      </c>
      <c r="H355" s="27">
        <v>-515</v>
      </c>
      <c r="I355" s="27">
        <f t="shared" si="233"/>
        <v>0</v>
      </c>
    </row>
    <row r="356" spans="1:9" x14ac:dyDescent="0.2">
      <c r="A356" s="81" t="s">
        <v>29</v>
      </c>
      <c r="B356" s="81" t="s">
        <v>361</v>
      </c>
      <c r="C356" s="82" t="s">
        <v>363</v>
      </c>
      <c r="D356" s="83"/>
      <c r="E356" s="83"/>
      <c r="F356" s="83"/>
      <c r="G356" s="21" t="e">
        <f t="shared" si="225"/>
        <v>#DIV/0!</v>
      </c>
      <c r="H356" s="83"/>
      <c r="I356" s="83"/>
    </row>
    <row r="357" spans="1:9" x14ac:dyDescent="0.2">
      <c r="A357" s="81"/>
      <c r="B357" s="22" t="s">
        <v>189</v>
      </c>
      <c r="C357" s="53" t="s">
        <v>190</v>
      </c>
      <c r="D357" s="83">
        <f>D360</f>
        <v>849</v>
      </c>
      <c r="E357" s="83">
        <f t="shared" ref="E357:F357" si="234">E360</f>
        <v>1727</v>
      </c>
      <c r="F357" s="83">
        <f t="shared" si="234"/>
        <v>878</v>
      </c>
      <c r="G357" s="21">
        <f t="shared" si="225"/>
        <v>103.41578327444051</v>
      </c>
      <c r="H357" s="83">
        <f>H360</f>
        <v>515</v>
      </c>
      <c r="I357" s="83">
        <f>I360</f>
        <v>363</v>
      </c>
    </row>
    <row r="358" spans="1:9" x14ac:dyDescent="0.2">
      <c r="A358" s="81"/>
      <c r="B358" s="22" t="s">
        <v>191</v>
      </c>
      <c r="C358" s="53" t="s">
        <v>192</v>
      </c>
      <c r="D358" s="83">
        <f>D361</f>
        <v>849</v>
      </c>
      <c r="E358" s="83">
        <f t="shared" ref="E358:F358" si="235">E361</f>
        <v>1727</v>
      </c>
      <c r="F358" s="83">
        <f t="shared" si="235"/>
        <v>878</v>
      </c>
      <c r="G358" s="21">
        <f t="shared" si="225"/>
        <v>103.41578327444051</v>
      </c>
      <c r="H358" s="83">
        <f>H361</f>
        <v>515</v>
      </c>
      <c r="I358" s="83">
        <f>I361</f>
        <v>363</v>
      </c>
    </row>
    <row r="359" spans="1:9" x14ac:dyDescent="0.2">
      <c r="A359" s="58" t="s">
        <v>29</v>
      </c>
      <c r="B359" s="58" t="s">
        <v>362</v>
      </c>
      <c r="C359" s="85" t="s">
        <v>243</v>
      </c>
      <c r="D359" s="86"/>
      <c r="E359" s="28"/>
      <c r="F359" s="29"/>
      <c r="G359" s="21" t="e">
        <f t="shared" si="225"/>
        <v>#DIV/0!</v>
      </c>
      <c r="H359" s="86"/>
      <c r="I359" s="86"/>
    </row>
    <row r="360" spans="1:9" x14ac:dyDescent="0.2">
      <c r="A360" s="58"/>
      <c r="B360" s="58" t="s">
        <v>189</v>
      </c>
      <c r="C360" s="59" t="s">
        <v>190</v>
      </c>
      <c r="D360" s="35">
        <f>398+271+180</f>
        <v>849</v>
      </c>
      <c r="E360" s="28">
        <f>'Buget 2024'!D360</f>
        <v>1727</v>
      </c>
      <c r="F360" s="29">
        <f t="shared" ref="F360:F361" si="236">E360-D360</f>
        <v>878</v>
      </c>
      <c r="G360" s="21">
        <f t="shared" si="225"/>
        <v>103.41578327444051</v>
      </c>
      <c r="H360" s="27">
        <v>515</v>
      </c>
      <c r="I360" s="27">
        <f t="shared" ref="I360:I361" si="237">F360-H360</f>
        <v>363</v>
      </c>
    </row>
    <row r="361" spans="1:9" x14ac:dyDescent="0.2">
      <c r="A361" s="58"/>
      <c r="B361" s="60" t="s">
        <v>191</v>
      </c>
      <c r="C361" s="61" t="s">
        <v>192</v>
      </c>
      <c r="D361" s="27">
        <f>398+271+180</f>
        <v>849</v>
      </c>
      <c r="E361" s="28">
        <f>'Buget 2024'!D361</f>
        <v>1727</v>
      </c>
      <c r="F361" s="29">
        <f t="shared" si="236"/>
        <v>878</v>
      </c>
      <c r="G361" s="21">
        <f t="shared" si="225"/>
        <v>103.41578327444051</v>
      </c>
      <c r="H361" s="27">
        <v>515</v>
      </c>
      <c r="I361" s="27">
        <f t="shared" si="237"/>
        <v>363</v>
      </c>
    </row>
    <row r="362" spans="1:9" hidden="1" x14ac:dyDescent="0.2">
      <c r="A362" s="22" t="s">
        <v>29</v>
      </c>
      <c r="B362" s="22">
        <v>57</v>
      </c>
      <c r="C362" s="23" t="s">
        <v>266</v>
      </c>
      <c r="D362" s="24"/>
      <c r="E362" s="24"/>
      <c r="F362" s="24"/>
      <c r="G362" s="21" t="e">
        <f t="shared" si="225"/>
        <v>#DIV/0!</v>
      </c>
      <c r="H362" s="24"/>
      <c r="I362" s="24"/>
    </row>
    <row r="363" spans="1:9" hidden="1" x14ac:dyDescent="0.2">
      <c r="A363" s="22"/>
      <c r="B363" s="22" t="s">
        <v>189</v>
      </c>
      <c r="C363" s="53" t="s">
        <v>190</v>
      </c>
      <c r="D363" s="24">
        <f t="shared" ref="D363:D364" si="238">D366</f>
        <v>0</v>
      </c>
      <c r="E363" s="24">
        <f t="shared" ref="E363:F364" si="239">E366</f>
        <v>0</v>
      </c>
      <c r="F363" s="24">
        <f t="shared" si="239"/>
        <v>0</v>
      </c>
      <c r="G363" s="21" t="e">
        <f t="shared" si="225"/>
        <v>#DIV/0!</v>
      </c>
      <c r="H363" s="24">
        <f t="shared" ref="H363:I364" si="240">H366</f>
        <v>0</v>
      </c>
      <c r="I363" s="24">
        <f t="shared" si="240"/>
        <v>0</v>
      </c>
    </row>
    <row r="364" spans="1:9" hidden="1" x14ac:dyDescent="0.2">
      <c r="A364" s="22"/>
      <c r="B364" s="22" t="s">
        <v>191</v>
      </c>
      <c r="C364" s="53" t="s">
        <v>192</v>
      </c>
      <c r="D364" s="24">
        <f t="shared" si="238"/>
        <v>0</v>
      </c>
      <c r="E364" s="24">
        <f t="shared" si="239"/>
        <v>0</v>
      </c>
      <c r="F364" s="24">
        <f t="shared" si="239"/>
        <v>0</v>
      </c>
      <c r="G364" s="21" t="e">
        <f t="shared" si="225"/>
        <v>#DIV/0!</v>
      </c>
      <c r="H364" s="24">
        <f t="shared" si="240"/>
        <v>0</v>
      </c>
      <c r="I364" s="24">
        <f t="shared" si="240"/>
        <v>0</v>
      </c>
    </row>
    <row r="365" spans="1:9" hidden="1" x14ac:dyDescent="0.2">
      <c r="A365" s="22" t="s">
        <v>29</v>
      </c>
      <c r="B365" s="22" t="s">
        <v>270</v>
      </c>
      <c r="C365" s="23" t="s">
        <v>267</v>
      </c>
      <c r="D365" s="24"/>
      <c r="E365" s="24"/>
      <c r="F365" s="24"/>
      <c r="G365" s="21" t="e">
        <f t="shared" si="225"/>
        <v>#DIV/0!</v>
      </c>
      <c r="H365" s="24"/>
      <c r="I365" s="24"/>
    </row>
    <row r="366" spans="1:9" hidden="1" x14ac:dyDescent="0.2">
      <c r="A366" s="22"/>
      <c r="B366" s="22" t="s">
        <v>189</v>
      </c>
      <c r="C366" s="53" t="s">
        <v>190</v>
      </c>
      <c r="D366" s="24">
        <f t="shared" ref="D366:D367" si="241">D369</f>
        <v>0</v>
      </c>
      <c r="E366" s="24">
        <f t="shared" ref="E366:F367" si="242">E369</f>
        <v>0</v>
      </c>
      <c r="F366" s="24">
        <f t="shared" si="242"/>
        <v>0</v>
      </c>
      <c r="G366" s="21" t="e">
        <f t="shared" si="225"/>
        <v>#DIV/0!</v>
      </c>
      <c r="H366" s="24">
        <f t="shared" ref="H366:I367" si="243">H369</f>
        <v>0</v>
      </c>
      <c r="I366" s="24">
        <f t="shared" si="243"/>
        <v>0</v>
      </c>
    </row>
    <row r="367" spans="1:9" hidden="1" x14ac:dyDescent="0.2">
      <c r="A367" s="22"/>
      <c r="B367" s="22" t="s">
        <v>191</v>
      </c>
      <c r="C367" s="53" t="s">
        <v>192</v>
      </c>
      <c r="D367" s="24">
        <f t="shared" si="241"/>
        <v>0</v>
      </c>
      <c r="E367" s="24">
        <f t="shared" si="242"/>
        <v>0</v>
      </c>
      <c r="F367" s="24">
        <f t="shared" si="242"/>
        <v>0</v>
      </c>
      <c r="G367" s="21" t="e">
        <f t="shared" si="225"/>
        <v>#DIV/0!</v>
      </c>
      <c r="H367" s="24">
        <f t="shared" si="243"/>
        <v>0</v>
      </c>
      <c r="I367" s="24">
        <f t="shared" si="243"/>
        <v>0</v>
      </c>
    </row>
    <row r="368" spans="1:9" hidden="1" x14ac:dyDescent="0.2">
      <c r="A368" s="32" t="s">
        <v>29</v>
      </c>
      <c r="B368" s="32" t="s">
        <v>271</v>
      </c>
      <c r="C368" s="33" t="s">
        <v>268</v>
      </c>
      <c r="D368" s="35"/>
      <c r="E368" s="35"/>
      <c r="F368" s="35"/>
      <c r="G368" s="21" t="e">
        <f t="shared" si="225"/>
        <v>#DIV/0!</v>
      </c>
      <c r="H368" s="35"/>
      <c r="I368" s="35"/>
    </row>
    <row r="369" spans="1:9" hidden="1" x14ac:dyDescent="0.2">
      <c r="A369" s="32"/>
      <c r="B369" s="58" t="s">
        <v>189</v>
      </c>
      <c r="C369" s="59" t="s">
        <v>190</v>
      </c>
      <c r="D369" s="35"/>
      <c r="E369" s="28">
        <f t="shared" ref="E369:E370" si="244">D369+F369</f>
        <v>0</v>
      </c>
      <c r="F369" s="29"/>
      <c r="G369" s="21" t="e">
        <f t="shared" si="225"/>
        <v>#DIV/0!</v>
      </c>
      <c r="H369" s="35"/>
      <c r="I369" s="35"/>
    </row>
    <row r="370" spans="1:9" hidden="1" x14ac:dyDescent="0.2">
      <c r="A370" s="32"/>
      <c r="B370" s="60" t="s">
        <v>191</v>
      </c>
      <c r="C370" s="61" t="s">
        <v>192</v>
      </c>
      <c r="D370" s="35"/>
      <c r="E370" s="28">
        <f t="shared" si="244"/>
        <v>0</v>
      </c>
      <c r="F370" s="29"/>
      <c r="G370" s="21" t="e">
        <f t="shared" si="225"/>
        <v>#DIV/0!</v>
      </c>
      <c r="H370" s="35"/>
      <c r="I370" s="35"/>
    </row>
    <row r="371" spans="1:9" ht="38.25" hidden="1" x14ac:dyDescent="0.2">
      <c r="A371" s="54" t="s">
        <v>29</v>
      </c>
      <c r="B371" s="54" t="s">
        <v>34</v>
      </c>
      <c r="C371" s="87" t="s">
        <v>195</v>
      </c>
      <c r="D371" s="80"/>
      <c r="E371" s="80"/>
      <c r="F371" s="80"/>
      <c r="G371" s="21" t="e">
        <f t="shared" si="225"/>
        <v>#DIV/0!</v>
      </c>
      <c r="H371" s="80"/>
      <c r="I371" s="80"/>
    </row>
    <row r="372" spans="1:9" hidden="1" x14ac:dyDescent="0.2">
      <c r="A372" s="54"/>
      <c r="B372" s="22" t="s">
        <v>189</v>
      </c>
      <c r="C372" s="53" t="s">
        <v>190</v>
      </c>
      <c r="D372" s="80">
        <f>D375+D396+D426+D387+D405+D417</f>
        <v>0</v>
      </c>
      <c r="E372" s="80">
        <f t="shared" ref="E372:F373" si="245">E375+E396+E426+E387+E405+E417</f>
        <v>0</v>
      </c>
      <c r="F372" s="80">
        <f t="shared" si="245"/>
        <v>0</v>
      </c>
      <c r="G372" s="21" t="e">
        <f t="shared" si="225"/>
        <v>#DIV/0!</v>
      </c>
      <c r="H372" s="80">
        <f>H375+H396+H426+H387+H405+H417</f>
        <v>0</v>
      </c>
      <c r="I372" s="80">
        <f>I375+I396+I426+I387+I405+I417</f>
        <v>0</v>
      </c>
    </row>
    <row r="373" spans="1:9" hidden="1" x14ac:dyDescent="0.2">
      <c r="A373" s="54"/>
      <c r="B373" s="22" t="s">
        <v>191</v>
      </c>
      <c r="C373" s="53" t="s">
        <v>192</v>
      </c>
      <c r="D373" s="80">
        <f>D376+D397+D427+D388+D406+D418</f>
        <v>0</v>
      </c>
      <c r="E373" s="80">
        <f t="shared" si="245"/>
        <v>0</v>
      </c>
      <c r="F373" s="80">
        <f t="shared" si="245"/>
        <v>0</v>
      </c>
      <c r="G373" s="21" t="e">
        <f t="shared" si="225"/>
        <v>#DIV/0!</v>
      </c>
      <c r="H373" s="80">
        <f>H376+H397+H427+H388+H406+H418</f>
        <v>0</v>
      </c>
      <c r="I373" s="80">
        <f>I376+I397+I427+I388+I406+I418</f>
        <v>0</v>
      </c>
    </row>
    <row r="374" spans="1:9" ht="23.25" hidden="1" customHeight="1" x14ac:dyDescent="0.2">
      <c r="A374" s="81" t="s">
        <v>29</v>
      </c>
      <c r="B374" s="81" t="s">
        <v>115</v>
      </c>
      <c r="C374" s="82" t="s">
        <v>242</v>
      </c>
      <c r="D374" s="83"/>
      <c r="E374" s="83"/>
      <c r="F374" s="83"/>
      <c r="G374" s="21" t="e">
        <f t="shared" si="225"/>
        <v>#DIV/0!</v>
      </c>
      <c r="H374" s="83"/>
      <c r="I374" s="83"/>
    </row>
    <row r="375" spans="1:9" hidden="1" x14ac:dyDescent="0.2">
      <c r="A375" s="81"/>
      <c r="B375" s="22" t="s">
        <v>189</v>
      </c>
      <c r="C375" s="53" t="s">
        <v>190</v>
      </c>
      <c r="D375" s="83">
        <f t="shared" ref="D375:D376" si="246">D378+D381+D384</f>
        <v>0</v>
      </c>
      <c r="E375" s="83">
        <f t="shared" ref="E375:F376" si="247">E378+E381+E384</f>
        <v>0</v>
      </c>
      <c r="F375" s="83">
        <f t="shared" si="247"/>
        <v>0</v>
      </c>
      <c r="G375" s="21" t="e">
        <f t="shared" si="225"/>
        <v>#DIV/0!</v>
      </c>
      <c r="H375" s="83">
        <f t="shared" ref="H375:I376" si="248">H378+H381+H384</f>
        <v>0</v>
      </c>
      <c r="I375" s="83">
        <f t="shared" si="248"/>
        <v>0</v>
      </c>
    </row>
    <row r="376" spans="1:9" hidden="1" x14ac:dyDescent="0.2">
      <c r="A376" s="81"/>
      <c r="B376" s="22" t="s">
        <v>191</v>
      </c>
      <c r="C376" s="53" t="s">
        <v>192</v>
      </c>
      <c r="D376" s="83">
        <f t="shared" si="246"/>
        <v>0</v>
      </c>
      <c r="E376" s="83">
        <f t="shared" si="247"/>
        <v>0</v>
      </c>
      <c r="F376" s="83">
        <f t="shared" si="247"/>
        <v>0</v>
      </c>
      <c r="G376" s="21" t="e">
        <f t="shared" si="225"/>
        <v>#DIV/0!</v>
      </c>
      <c r="H376" s="83">
        <f t="shared" si="248"/>
        <v>0</v>
      </c>
      <c r="I376" s="83">
        <f t="shared" si="248"/>
        <v>0</v>
      </c>
    </row>
    <row r="377" spans="1:9" hidden="1" x14ac:dyDescent="0.2">
      <c r="A377" s="84" t="s">
        <v>29</v>
      </c>
      <c r="B377" s="84" t="s">
        <v>116</v>
      </c>
      <c r="C377" s="69" t="s">
        <v>240</v>
      </c>
      <c r="D377" s="71"/>
      <c r="E377" s="71"/>
      <c r="F377" s="71"/>
      <c r="G377" s="21" t="e">
        <f t="shared" si="225"/>
        <v>#DIV/0!</v>
      </c>
      <c r="H377" s="71"/>
      <c r="I377" s="71"/>
    </row>
    <row r="378" spans="1:9" hidden="1" x14ac:dyDescent="0.2">
      <c r="A378" s="84"/>
      <c r="B378" s="58" t="s">
        <v>189</v>
      </c>
      <c r="C378" s="59" t="s">
        <v>190</v>
      </c>
      <c r="D378" s="34">
        <v>0</v>
      </c>
      <c r="E378" s="28">
        <f t="shared" ref="E378:E379" si="249">D378+F378</f>
        <v>0</v>
      </c>
      <c r="F378" s="29"/>
      <c r="G378" s="21" t="e">
        <f t="shared" si="225"/>
        <v>#DIV/0!</v>
      </c>
      <c r="H378" s="34">
        <v>0</v>
      </c>
      <c r="I378" s="34">
        <v>0</v>
      </c>
    </row>
    <row r="379" spans="1:9" hidden="1" x14ac:dyDescent="0.2">
      <c r="A379" s="84"/>
      <c r="B379" s="60" t="s">
        <v>191</v>
      </c>
      <c r="C379" s="61" t="s">
        <v>192</v>
      </c>
      <c r="D379" s="28">
        <v>0</v>
      </c>
      <c r="E379" s="28">
        <f t="shared" si="249"/>
        <v>0</v>
      </c>
      <c r="F379" s="29"/>
      <c r="G379" s="21" t="e">
        <f t="shared" si="225"/>
        <v>#DIV/0!</v>
      </c>
      <c r="H379" s="28">
        <v>0</v>
      </c>
      <c r="I379" s="28">
        <v>0</v>
      </c>
    </row>
    <row r="380" spans="1:9" hidden="1" x14ac:dyDescent="0.2">
      <c r="A380" s="58" t="s">
        <v>29</v>
      </c>
      <c r="B380" s="58" t="s">
        <v>117</v>
      </c>
      <c r="C380" s="85" t="s">
        <v>243</v>
      </c>
      <c r="D380" s="88"/>
      <c r="E380" s="86"/>
      <c r="F380" s="86"/>
      <c r="G380" s="21" t="e">
        <f t="shared" si="225"/>
        <v>#DIV/0!</v>
      </c>
      <c r="H380" s="88"/>
      <c r="I380" s="88"/>
    </row>
    <row r="381" spans="1:9" hidden="1" x14ac:dyDescent="0.2">
      <c r="A381" s="58"/>
      <c r="B381" s="58" t="s">
        <v>189</v>
      </c>
      <c r="C381" s="59" t="s">
        <v>190</v>
      </c>
      <c r="D381" s="34"/>
      <c r="E381" s="28">
        <f>'Buget 2024'!D381</f>
        <v>0</v>
      </c>
      <c r="F381" s="29">
        <f t="shared" ref="F381:F382" si="250">E381-D381</f>
        <v>0</v>
      </c>
      <c r="G381" s="21" t="e">
        <f t="shared" si="225"/>
        <v>#DIV/0!</v>
      </c>
      <c r="H381" s="34"/>
      <c r="I381" s="34"/>
    </row>
    <row r="382" spans="1:9" hidden="1" x14ac:dyDescent="0.2">
      <c r="A382" s="58"/>
      <c r="B382" s="60" t="s">
        <v>191</v>
      </c>
      <c r="C382" s="61" t="s">
        <v>192</v>
      </c>
      <c r="D382" s="28"/>
      <c r="E382" s="28">
        <f>'Buget 2024'!D382</f>
        <v>0</v>
      </c>
      <c r="F382" s="29">
        <f t="shared" si="250"/>
        <v>0</v>
      </c>
      <c r="G382" s="21" t="e">
        <f t="shared" si="225"/>
        <v>#DIV/0!</v>
      </c>
      <c r="H382" s="28"/>
      <c r="I382" s="28"/>
    </row>
    <row r="383" spans="1:9" hidden="1" x14ac:dyDescent="0.2">
      <c r="A383" s="58" t="s">
        <v>29</v>
      </c>
      <c r="B383" s="58" t="s">
        <v>118</v>
      </c>
      <c r="C383" s="69" t="s">
        <v>114</v>
      </c>
      <c r="D383" s="70"/>
      <c r="E383" s="71"/>
      <c r="F383" s="71"/>
      <c r="G383" s="21" t="e">
        <f t="shared" si="225"/>
        <v>#DIV/0!</v>
      </c>
      <c r="H383" s="70"/>
      <c r="I383" s="70"/>
    </row>
    <row r="384" spans="1:9" hidden="1" x14ac:dyDescent="0.2">
      <c r="A384" s="58"/>
      <c r="B384" s="58" t="s">
        <v>189</v>
      </c>
      <c r="C384" s="59" t="s">
        <v>190</v>
      </c>
      <c r="D384" s="34">
        <v>0</v>
      </c>
      <c r="E384" s="28">
        <f t="shared" ref="E384:E385" si="251">D384+F384</f>
        <v>0</v>
      </c>
      <c r="F384" s="29"/>
      <c r="G384" s="21" t="e">
        <f t="shared" si="225"/>
        <v>#DIV/0!</v>
      </c>
      <c r="H384" s="34">
        <v>0</v>
      </c>
      <c r="I384" s="34">
        <v>0</v>
      </c>
    </row>
    <row r="385" spans="1:9" hidden="1" x14ac:dyDescent="0.2">
      <c r="A385" s="58"/>
      <c r="B385" s="60" t="s">
        <v>191</v>
      </c>
      <c r="C385" s="61" t="s">
        <v>192</v>
      </c>
      <c r="D385" s="28">
        <v>0</v>
      </c>
      <c r="E385" s="28">
        <f t="shared" si="251"/>
        <v>0</v>
      </c>
      <c r="F385" s="29"/>
      <c r="G385" s="21" t="e">
        <f t="shared" si="225"/>
        <v>#DIV/0!</v>
      </c>
      <c r="H385" s="28">
        <v>0</v>
      </c>
      <c r="I385" s="28">
        <v>0</v>
      </c>
    </row>
    <row r="386" spans="1:9" hidden="1" x14ac:dyDescent="0.2">
      <c r="A386" s="81" t="s">
        <v>29</v>
      </c>
      <c r="B386" s="81" t="s">
        <v>274</v>
      </c>
      <c r="C386" s="82" t="s">
        <v>272</v>
      </c>
      <c r="D386" s="83"/>
      <c r="E386" s="83"/>
      <c r="F386" s="83"/>
      <c r="G386" s="21" t="e">
        <f t="shared" si="225"/>
        <v>#DIV/0!</v>
      </c>
      <c r="H386" s="83"/>
      <c r="I386" s="83"/>
    </row>
    <row r="387" spans="1:9" hidden="1" x14ac:dyDescent="0.2">
      <c r="A387" s="81"/>
      <c r="B387" s="22" t="s">
        <v>189</v>
      </c>
      <c r="C387" s="53" t="s">
        <v>190</v>
      </c>
      <c r="D387" s="83">
        <f t="shared" ref="D387:D388" si="252">D390+D393</f>
        <v>0</v>
      </c>
      <c r="E387" s="83">
        <f t="shared" ref="E387:F388" si="253">E390+E393</f>
        <v>0</v>
      </c>
      <c r="F387" s="83">
        <f t="shared" si="253"/>
        <v>0</v>
      </c>
      <c r="G387" s="21" t="e">
        <f t="shared" si="225"/>
        <v>#DIV/0!</v>
      </c>
      <c r="H387" s="83">
        <f t="shared" ref="H387:I388" si="254">H390+H393</f>
        <v>0</v>
      </c>
      <c r="I387" s="83">
        <f t="shared" si="254"/>
        <v>0</v>
      </c>
    </row>
    <row r="388" spans="1:9" hidden="1" x14ac:dyDescent="0.2">
      <c r="A388" s="81"/>
      <c r="B388" s="22" t="s">
        <v>191</v>
      </c>
      <c r="C388" s="53" t="s">
        <v>192</v>
      </c>
      <c r="D388" s="83">
        <f t="shared" si="252"/>
        <v>0</v>
      </c>
      <c r="E388" s="83">
        <f t="shared" si="253"/>
        <v>0</v>
      </c>
      <c r="F388" s="83">
        <f t="shared" si="253"/>
        <v>0</v>
      </c>
      <c r="G388" s="21" t="e">
        <f t="shared" si="225"/>
        <v>#DIV/0!</v>
      </c>
      <c r="H388" s="83">
        <f t="shared" si="254"/>
        <v>0</v>
      </c>
      <c r="I388" s="83">
        <f t="shared" si="254"/>
        <v>0</v>
      </c>
    </row>
    <row r="389" spans="1:9" hidden="1" x14ac:dyDescent="0.2">
      <c r="A389" s="84" t="s">
        <v>29</v>
      </c>
      <c r="B389" s="84" t="s">
        <v>275</v>
      </c>
      <c r="C389" s="33" t="s">
        <v>240</v>
      </c>
      <c r="D389" s="35"/>
      <c r="E389" s="35"/>
      <c r="F389" s="35"/>
      <c r="G389" s="21" t="e">
        <f t="shared" si="225"/>
        <v>#DIV/0!</v>
      </c>
      <c r="H389" s="35"/>
      <c r="I389" s="35"/>
    </row>
    <row r="390" spans="1:9" hidden="1" x14ac:dyDescent="0.2">
      <c r="A390" s="84"/>
      <c r="B390" s="58" t="s">
        <v>189</v>
      </c>
      <c r="C390" s="59" t="s">
        <v>190</v>
      </c>
      <c r="D390" s="35"/>
      <c r="E390" s="35"/>
      <c r="F390" s="35"/>
      <c r="G390" s="21" t="e">
        <f t="shared" si="225"/>
        <v>#DIV/0!</v>
      </c>
      <c r="H390" s="35"/>
      <c r="I390" s="35"/>
    </row>
    <row r="391" spans="1:9" hidden="1" x14ac:dyDescent="0.2">
      <c r="A391" s="84"/>
      <c r="B391" s="60" t="s">
        <v>191</v>
      </c>
      <c r="C391" s="61" t="s">
        <v>192</v>
      </c>
      <c r="D391" s="27"/>
      <c r="E391" s="27"/>
      <c r="F391" s="27"/>
      <c r="G391" s="21" t="e">
        <f t="shared" si="225"/>
        <v>#DIV/0!</v>
      </c>
      <c r="H391" s="27"/>
      <c r="I391" s="27"/>
    </row>
    <row r="392" spans="1:9" hidden="1" x14ac:dyDescent="0.2">
      <c r="A392" s="58" t="s">
        <v>29</v>
      </c>
      <c r="B392" s="58" t="s">
        <v>276</v>
      </c>
      <c r="C392" s="89" t="s">
        <v>243</v>
      </c>
      <c r="D392" s="90"/>
      <c r="E392" s="90"/>
      <c r="F392" s="90"/>
      <c r="G392" s="21" t="e">
        <f t="shared" si="225"/>
        <v>#DIV/0!</v>
      </c>
      <c r="H392" s="90"/>
      <c r="I392" s="90"/>
    </row>
    <row r="393" spans="1:9" hidden="1" x14ac:dyDescent="0.2">
      <c r="A393" s="58"/>
      <c r="B393" s="58" t="s">
        <v>189</v>
      </c>
      <c r="C393" s="59" t="s">
        <v>190</v>
      </c>
      <c r="D393" s="34"/>
      <c r="E393" s="28">
        <f>'Buget 2024'!D393</f>
        <v>0</v>
      </c>
      <c r="F393" s="29">
        <f t="shared" ref="F393:F394" si="255">E393-D393</f>
        <v>0</v>
      </c>
      <c r="G393" s="21" t="e">
        <f t="shared" si="225"/>
        <v>#DIV/0!</v>
      </c>
      <c r="H393" s="34"/>
      <c r="I393" s="34"/>
    </row>
    <row r="394" spans="1:9" hidden="1" x14ac:dyDescent="0.2">
      <c r="A394" s="58"/>
      <c r="B394" s="60" t="s">
        <v>191</v>
      </c>
      <c r="C394" s="61" t="s">
        <v>192</v>
      </c>
      <c r="D394" s="34"/>
      <c r="E394" s="28">
        <f>'Buget 2024'!D394</f>
        <v>0</v>
      </c>
      <c r="F394" s="29">
        <f t="shared" si="255"/>
        <v>0</v>
      </c>
      <c r="G394" s="21" t="e">
        <f t="shared" si="225"/>
        <v>#DIV/0!</v>
      </c>
      <c r="H394" s="34"/>
      <c r="I394" s="34"/>
    </row>
    <row r="395" spans="1:9" ht="17.25" hidden="1" customHeight="1" x14ac:dyDescent="0.2">
      <c r="A395" s="81" t="s">
        <v>29</v>
      </c>
      <c r="B395" s="81" t="s">
        <v>119</v>
      </c>
      <c r="C395" s="82" t="s">
        <v>120</v>
      </c>
      <c r="D395" s="83"/>
      <c r="E395" s="83"/>
      <c r="F395" s="83"/>
      <c r="G395" s="21" t="e">
        <f t="shared" si="225"/>
        <v>#DIV/0!</v>
      </c>
      <c r="H395" s="83"/>
      <c r="I395" s="83"/>
    </row>
    <row r="396" spans="1:9" hidden="1" x14ac:dyDescent="0.2">
      <c r="A396" s="81"/>
      <c r="B396" s="22" t="s">
        <v>189</v>
      </c>
      <c r="C396" s="53" t="s">
        <v>190</v>
      </c>
      <c r="D396" s="83">
        <f t="shared" ref="D396:D397" si="256">D399+D402</f>
        <v>0</v>
      </c>
      <c r="E396" s="83">
        <f t="shared" ref="E396:F397" si="257">E399+E402</f>
        <v>0</v>
      </c>
      <c r="F396" s="83">
        <f t="shared" si="257"/>
        <v>0</v>
      </c>
      <c r="G396" s="21" t="e">
        <f t="shared" si="225"/>
        <v>#DIV/0!</v>
      </c>
      <c r="H396" s="83">
        <f t="shared" ref="H396:I397" si="258">H399+H402</f>
        <v>0</v>
      </c>
      <c r="I396" s="83">
        <f t="shared" si="258"/>
        <v>0</v>
      </c>
    </row>
    <row r="397" spans="1:9" hidden="1" x14ac:dyDescent="0.2">
      <c r="A397" s="81"/>
      <c r="B397" s="22" t="s">
        <v>191</v>
      </c>
      <c r="C397" s="53" t="s">
        <v>192</v>
      </c>
      <c r="D397" s="83">
        <f t="shared" si="256"/>
        <v>0</v>
      </c>
      <c r="E397" s="83">
        <f t="shared" si="257"/>
        <v>0</v>
      </c>
      <c r="F397" s="83">
        <f t="shared" si="257"/>
        <v>0</v>
      </c>
      <c r="G397" s="21" t="e">
        <f t="shared" si="225"/>
        <v>#DIV/0!</v>
      </c>
      <c r="H397" s="83">
        <f t="shared" si="258"/>
        <v>0</v>
      </c>
      <c r="I397" s="83">
        <f t="shared" si="258"/>
        <v>0</v>
      </c>
    </row>
    <row r="398" spans="1:9" hidden="1" x14ac:dyDescent="0.2">
      <c r="A398" s="84" t="s">
        <v>29</v>
      </c>
      <c r="B398" s="84" t="s">
        <v>121</v>
      </c>
      <c r="C398" s="33" t="s">
        <v>240</v>
      </c>
      <c r="D398" s="35"/>
      <c r="E398" s="35"/>
      <c r="F398" s="35"/>
      <c r="G398" s="21" t="e">
        <f t="shared" si="225"/>
        <v>#DIV/0!</v>
      </c>
      <c r="H398" s="35"/>
      <c r="I398" s="35"/>
    </row>
    <row r="399" spans="1:9" hidden="1" x14ac:dyDescent="0.2">
      <c r="A399" s="84"/>
      <c r="B399" s="58" t="s">
        <v>189</v>
      </c>
      <c r="C399" s="59" t="s">
        <v>190</v>
      </c>
      <c r="D399" s="34">
        <v>0</v>
      </c>
      <c r="E399" s="28">
        <f t="shared" ref="E399:E400" si="259">D399+F399</f>
        <v>0</v>
      </c>
      <c r="F399" s="29"/>
      <c r="G399" s="21" t="e">
        <f t="shared" si="225"/>
        <v>#DIV/0!</v>
      </c>
      <c r="H399" s="34">
        <v>0</v>
      </c>
      <c r="I399" s="34">
        <v>0</v>
      </c>
    </row>
    <row r="400" spans="1:9" hidden="1" x14ac:dyDescent="0.2">
      <c r="A400" s="84"/>
      <c r="B400" s="60" t="s">
        <v>191</v>
      </c>
      <c r="C400" s="61" t="s">
        <v>192</v>
      </c>
      <c r="D400" s="28">
        <v>0</v>
      </c>
      <c r="E400" s="28">
        <f t="shared" si="259"/>
        <v>0</v>
      </c>
      <c r="F400" s="29"/>
      <c r="G400" s="21" t="e">
        <f t="shared" si="225"/>
        <v>#DIV/0!</v>
      </c>
      <c r="H400" s="28">
        <v>0</v>
      </c>
      <c r="I400" s="28">
        <v>0</v>
      </c>
    </row>
    <row r="401" spans="1:9" hidden="1" x14ac:dyDescent="0.2">
      <c r="A401" s="58" t="s">
        <v>29</v>
      </c>
      <c r="B401" s="58" t="s">
        <v>122</v>
      </c>
      <c r="C401" s="89" t="s">
        <v>243</v>
      </c>
      <c r="D401" s="91"/>
      <c r="E401" s="90"/>
      <c r="F401" s="90"/>
      <c r="G401" s="21" t="e">
        <f t="shared" si="225"/>
        <v>#DIV/0!</v>
      </c>
      <c r="H401" s="91"/>
      <c r="I401" s="91"/>
    </row>
    <row r="402" spans="1:9" hidden="1" x14ac:dyDescent="0.2">
      <c r="A402" s="58"/>
      <c r="B402" s="58" t="s">
        <v>189</v>
      </c>
      <c r="C402" s="59" t="s">
        <v>190</v>
      </c>
      <c r="D402" s="34">
        <v>0</v>
      </c>
      <c r="E402" s="28">
        <f t="shared" ref="E402:E403" si="260">D402+F402</f>
        <v>0</v>
      </c>
      <c r="F402" s="29"/>
      <c r="G402" s="21" t="e">
        <f t="shared" si="225"/>
        <v>#DIV/0!</v>
      </c>
      <c r="H402" s="34">
        <v>0</v>
      </c>
      <c r="I402" s="34">
        <v>0</v>
      </c>
    </row>
    <row r="403" spans="1:9" hidden="1" x14ac:dyDescent="0.2">
      <c r="A403" s="58"/>
      <c r="B403" s="60" t="s">
        <v>191</v>
      </c>
      <c r="C403" s="61" t="s">
        <v>192</v>
      </c>
      <c r="D403" s="28">
        <v>0</v>
      </c>
      <c r="E403" s="28">
        <f t="shared" si="260"/>
        <v>0</v>
      </c>
      <c r="F403" s="29"/>
      <c r="G403" s="21" t="e">
        <f t="shared" si="225"/>
        <v>#DIV/0!</v>
      </c>
      <c r="H403" s="28">
        <v>0</v>
      </c>
      <c r="I403" s="28">
        <v>0</v>
      </c>
    </row>
    <row r="404" spans="1:9" hidden="1" x14ac:dyDescent="0.2">
      <c r="A404" s="81" t="s">
        <v>29</v>
      </c>
      <c r="B404" s="81" t="s">
        <v>292</v>
      </c>
      <c r="C404" s="92" t="s">
        <v>291</v>
      </c>
      <c r="D404" s="83"/>
      <c r="E404" s="83"/>
      <c r="F404" s="83"/>
      <c r="G404" s="21" t="e">
        <f t="shared" si="225"/>
        <v>#DIV/0!</v>
      </c>
      <c r="H404" s="83"/>
      <c r="I404" s="83"/>
    </row>
    <row r="405" spans="1:9" hidden="1" x14ac:dyDescent="0.2">
      <c r="A405" s="81"/>
      <c r="B405" s="22" t="s">
        <v>189</v>
      </c>
      <c r="C405" s="53" t="s">
        <v>190</v>
      </c>
      <c r="D405" s="83">
        <f>D408+D411+D414</f>
        <v>0</v>
      </c>
      <c r="E405" s="83">
        <f t="shared" ref="E405:F406" si="261">E408+E411+E414</f>
        <v>0</v>
      </c>
      <c r="F405" s="83">
        <f t="shared" si="261"/>
        <v>0</v>
      </c>
      <c r="G405" s="21" t="e">
        <f t="shared" si="225"/>
        <v>#DIV/0!</v>
      </c>
      <c r="H405" s="83">
        <f>H408+H411+H414</f>
        <v>0</v>
      </c>
      <c r="I405" s="83">
        <f>I408+I411+I414</f>
        <v>0</v>
      </c>
    </row>
    <row r="406" spans="1:9" hidden="1" x14ac:dyDescent="0.2">
      <c r="A406" s="81"/>
      <c r="B406" s="22" t="s">
        <v>191</v>
      </c>
      <c r="C406" s="53" t="s">
        <v>192</v>
      </c>
      <c r="D406" s="83">
        <f>D409+D412+D415</f>
        <v>0</v>
      </c>
      <c r="E406" s="83">
        <f t="shared" si="261"/>
        <v>0</v>
      </c>
      <c r="F406" s="83">
        <f t="shared" si="261"/>
        <v>0</v>
      </c>
      <c r="G406" s="21" t="e">
        <f t="shared" si="225"/>
        <v>#DIV/0!</v>
      </c>
      <c r="H406" s="83">
        <f>H409+H412+H415</f>
        <v>0</v>
      </c>
      <c r="I406" s="83">
        <f>I409+I412+I415</f>
        <v>0</v>
      </c>
    </row>
    <row r="407" spans="1:9" hidden="1" x14ac:dyDescent="0.2">
      <c r="A407" s="84" t="s">
        <v>29</v>
      </c>
      <c r="B407" s="84" t="s">
        <v>293</v>
      </c>
      <c r="C407" s="33" t="s">
        <v>240</v>
      </c>
      <c r="D407" s="35"/>
      <c r="E407" s="35"/>
      <c r="F407" s="35"/>
      <c r="G407" s="21" t="e">
        <f t="shared" si="225"/>
        <v>#DIV/0!</v>
      </c>
      <c r="H407" s="35"/>
      <c r="I407" s="35"/>
    </row>
    <row r="408" spans="1:9" hidden="1" x14ac:dyDescent="0.2">
      <c r="A408" s="84"/>
      <c r="B408" s="58" t="s">
        <v>189</v>
      </c>
      <c r="C408" s="59" t="s">
        <v>190</v>
      </c>
      <c r="D408" s="35"/>
      <c r="E408" s="28">
        <f>'Buget 2024'!D408</f>
        <v>0</v>
      </c>
      <c r="F408" s="29">
        <f t="shared" ref="F408:F409" si="262">E408-D408</f>
        <v>0</v>
      </c>
      <c r="G408" s="21" t="e">
        <f t="shared" si="225"/>
        <v>#DIV/0!</v>
      </c>
      <c r="H408" s="35"/>
      <c r="I408" s="35"/>
    </row>
    <row r="409" spans="1:9" hidden="1" x14ac:dyDescent="0.2">
      <c r="A409" s="84"/>
      <c r="B409" s="60" t="s">
        <v>191</v>
      </c>
      <c r="C409" s="61" t="s">
        <v>192</v>
      </c>
      <c r="D409" s="35"/>
      <c r="E409" s="28">
        <f>'Buget 2024'!D409</f>
        <v>0</v>
      </c>
      <c r="F409" s="29">
        <f t="shared" si="262"/>
        <v>0</v>
      </c>
      <c r="G409" s="21" t="e">
        <f t="shared" ref="G409:G475" si="263">F409/D409*100</f>
        <v>#DIV/0!</v>
      </c>
      <c r="H409" s="35"/>
      <c r="I409" s="35"/>
    </row>
    <row r="410" spans="1:9" hidden="1" x14ac:dyDescent="0.2">
      <c r="A410" s="58" t="s">
        <v>29</v>
      </c>
      <c r="B410" s="58" t="s">
        <v>294</v>
      </c>
      <c r="C410" s="89" t="s">
        <v>243</v>
      </c>
      <c r="D410" s="90"/>
      <c r="E410" s="90"/>
      <c r="F410" s="90"/>
      <c r="G410" s="21" t="e">
        <f t="shared" si="263"/>
        <v>#DIV/0!</v>
      </c>
      <c r="H410" s="90"/>
      <c r="I410" s="90"/>
    </row>
    <row r="411" spans="1:9" hidden="1" x14ac:dyDescent="0.2">
      <c r="A411" s="58"/>
      <c r="B411" s="58" t="s">
        <v>189</v>
      </c>
      <c r="C411" s="59" t="s">
        <v>190</v>
      </c>
      <c r="D411" s="35"/>
      <c r="E411" s="28">
        <f>'Buget 2024'!D411</f>
        <v>0</v>
      </c>
      <c r="F411" s="29">
        <f t="shared" ref="F411:F412" si="264">E411-D411</f>
        <v>0</v>
      </c>
      <c r="G411" s="21" t="e">
        <f t="shared" si="263"/>
        <v>#DIV/0!</v>
      </c>
      <c r="H411" s="35"/>
      <c r="I411" s="35"/>
    </row>
    <row r="412" spans="1:9" hidden="1" x14ac:dyDescent="0.2">
      <c r="A412" s="58"/>
      <c r="B412" s="60" t="s">
        <v>191</v>
      </c>
      <c r="C412" s="61" t="s">
        <v>192</v>
      </c>
      <c r="D412" s="35"/>
      <c r="E412" s="28">
        <f>'Buget 2024'!D412</f>
        <v>0</v>
      </c>
      <c r="F412" s="29">
        <f t="shared" si="264"/>
        <v>0</v>
      </c>
      <c r="G412" s="21" t="e">
        <f t="shared" si="263"/>
        <v>#DIV/0!</v>
      </c>
      <c r="H412" s="35"/>
      <c r="I412" s="35"/>
    </row>
    <row r="413" spans="1:9" hidden="1" x14ac:dyDescent="0.2">
      <c r="A413" s="58" t="s">
        <v>29</v>
      </c>
      <c r="B413" s="58" t="s">
        <v>302</v>
      </c>
      <c r="C413" s="69" t="s">
        <v>114</v>
      </c>
      <c r="D413" s="90"/>
      <c r="E413" s="90"/>
      <c r="F413" s="90"/>
      <c r="G413" s="21" t="e">
        <f t="shared" si="263"/>
        <v>#DIV/0!</v>
      </c>
      <c r="H413" s="90"/>
      <c r="I413" s="90"/>
    </row>
    <row r="414" spans="1:9" hidden="1" x14ac:dyDescent="0.2">
      <c r="A414" s="58"/>
      <c r="B414" s="58" t="s">
        <v>189</v>
      </c>
      <c r="C414" s="59" t="s">
        <v>190</v>
      </c>
      <c r="D414" s="35"/>
      <c r="E414" s="28">
        <f>'Buget 2024'!D414</f>
        <v>0</v>
      </c>
      <c r="F414" s="29">
        <f t="shared" ref="F414:F415" si="265">E414-D414</f>
        <v>0</v>
      </c>
      <c r="G414" s="21" t="e">
        <f t="shared" si="263"/>
        <v>#DIV/0!</v>
      </c>
      <c r="H414" s="35"/>
      <c r="I414" s="35"/>
    </row>
    <row r="415" spans="1:9" hidden="1" x14ac:dyDescent="0.2">
      <c r="A415" s="58"/>
      <c r="B415" s="60" t="s">
        <v>191</v>
      </c>
      <c r="C415" s="61" t="s">
        <v>192</v>
      </c>
      <c r="D415" s="35"/>
      <c r="E415" s="28">
        <f>'Buget 2024'!D415</f>
        <v>0</v>
      </c>
      <c r="F415" s="29">
        <f t="shared" si="265"/>
        <v>0</v>
      </c>
      <c r="G415" s="21" t="e">
        <f t="shared" si="263"/>
        <v>#DIV/0!</v>
      </c>
      <c r="H415" s="35"/>
      <c r="I415" s="35"/>
    </row>
    <row r="416" spans="1:9" hidden="1" x14ac:dyDescent="0.2">
      <c r="A416" s="81" t="s">
        <v>29</v>
      </c>
      <c r="B416" s="81" t="s">
        <v>326</v>
      </c>
      <c r="C416" s="92" t="s">
        <v>325</v>
      </c>
      <c r="D416" s="83"/>
      <c r="E416" s="83"/>
      <c r="F416" s="83"/>
      <c r="G416" s="21" t="e">
        <f t="shared" si="263"/>
        <v>#DIV/0!</v>
      </c>
      <c r="H416" s="83"/>
      <c r="I416" s="83"/>
    </row>
    <row r="417" spans="1:9" hidden="1" x14ac:dyDescent="0.2">
      <c r="A417" s="81"/>
      <c r="B417" s="22" t="s">
        <v>189</v>
      </c>
      <c r="C417" s="53" t="s">
        <v>190</v>
      </c>
      <c r="D417" s="83">
        <f t="shared" ref="D417:D418" si="266">D420+D423</f>
        <v>0</v>
      </c>
      <c r="E417" s="83">
        <f t="shared" ref="E417:F418" si="267">E420+E423</f>
        <v>0</v>
      </c>
      <c r="F417" s="83">
        <f t="shared" si="267"/>
        <v>0</v>
      </c>
      <c r="G417" s="21" t="e">
        <f t="shared" si="263"/>
        <v>#DIV/0!</v>
      </c>
      <c r="H417" s="83">
        <f t="shared" ref="H417:I418" si="268">H420+H423</f>
        <v>0</v>
      </c>
      <c r="I417" s="83">
        <f t="shared" si="268"/>
        <v>0</v>
      </c>
    </row>
    <row r="418" spans="1:9" hidden="1" x14ac:dyDescent="0.2">
      <c r="A418" s="81"/>
      <c r="B418" s="22" t="s">
        <v>191</v>
      </c>
      <c r="C418" s="53" t="s">
        <v>192</v>
      </c>
      <c r="D418" s="83">
        <f t="shared" si="266"/>
        <v>0</v>
      </c>
      <c r="E418" s="83">
        <f t="shared" si="267"/>
        <v>0</v>
      </c>
      <c r="F418" s="83">
        <f t="shared" si="267"/>
        <v>0</v>
      </c>
      <c r="G418" s="21" t="e">
        <f t="shared" si="263"/>
        <v>#DIV/0!</v>
      </c>
      <c r="H418" s="83">
        <f t="shared" si="268"/>
        <v>0</v>
      </c>
      <c r="I418" s="83">
        <f t="shared" si="268"/>
        <v>0</v>
      </c>
    </row>
    <row r="419" spans="1:9" hidden="1" x14ac:dyDescent="0.2">
      <c r="A419" s="84" t="s">
        <v>29</v>
      </c>
      <c r="B419" s="84" t="s">
        <v>327</v>
      </c>
      <c r="C419" s="89" t="s">
        <v>243</v>
      </c>
      <c r="D419" s="35"/>
      <c r="E419" s="35"/>
      <c r="F419" s="35"/>
      <c r="G419" s="21" t="e">
        <f t="shared" si="263"/>
        <v>#DIV/0!</v>
      </c>
      <c r="H419" s="35"/>
      <c r="I419" s="35"/>
    </row>
    <row r="420" spans="1:9" hidden="1" x14ac:dyDescent="0.2">
      <c r="A420" s="84"/>
      <c r="B420" s="58" t="s">
        <v>189</v>
      </c>
      <c r="C420" s="59" t="s">
        <v>190</v>
      </c>
      <c r="D420" s="34">
        <f>210-210</f>
        <v>0</v>
      </c>
      <c r="E420" s="28">
        <f>'Buget 2024'!D420</f>
        <v>0</v>
      </c>
      <c r="F420" s="29">
        <f t="shared" ref="F420:F421" si="269">E420-D420</f>
        <v>0</v>
      </c>
      <c r="G420" s="21" t="e">
        <f t="shared" si="263"/>
        <v>#DIV/0!</v>
      </c>
      <c r="H420" s="34">
        <f>210-210</f>
        <v>0</v>
      </c>
      <c r="I420" s="34">
        <f>210-210</f>
        <v>0</v>
      </c>
    </row>
    <row r="421" spans="1:9" hidden="1" x14ac:dyDescent="0.2">
      <c r="A421" s="84"/>
      <c r="B421" s="60" t="s">
        <v>191</v>
      </c>
      <c r="C421" s="61" t="s">
        <v>192</v>
      </c>
      <c r="D421" s="28">
        <f>210-210</f>
        <v>0</v>
      </c>
      <c r="E421" s="28">
        <f>'Buget 2024'!D421</f>
        <v>0</v>
      </c>
      <c r="F421" s="29">
        <f t="shared" si="269"/>
        <v>0</v>
      </c>
      <c r="G421" s="21" t="e">
        <f t="shared" si="263"/>
        <v>#DIV/0!</v>
      </c>
      <c r="H421" s="28">
        <f>210-210</f>
        <v>0</v>
      </c>
      <c r="I421" s="28">
        <f>210-210</f>
        <v>0</v>
      </c>
    </row>
    <row r="422" spans="1:9" hidden="1" x14ac:dyDescent="0.2">
      <c r="A422" s="58" t="s">
        <v>29</v>
      </c>
      <c r="B422" s="58" t="s">
        <v>328</v>
      </c>
      <c r="C422" s="69" t="s">
        <v>114</v>
      </c>
      <c r="D422" s="91"/>
      <c r="E422" s="90"/>
      <c r="F422" s="90"/>
      <c r="G422" s="21" t="e">
        <f t="shared" si="263"/>
        <v>#DIV/0!</v>
      </c>
      <c r="H422" s="91"/>
      <c r="I422" s="91"/>
    </row>
    <row r="423" spans="1:9" hidden="1" x14ac:dyDescent="0.2">
      <c r="A423" s="58"/>
      <c r="B423" s="58" t="s">
        <v>189</v>
      </c>
      <c r="C423" s="59" t="s">
        <v>190</v>
      </c>
      <c r="D423" s="34">
        <f>61-61</f>
        <v>0</v>
      </c>
      <c r="E423" s="28">
        <f>'Buget 2024'!D423</f>
        <v>0</v>
      </c>
      <c r="F423" s="29">
        <f t="shared" ref="F423:F424" si="270">E423-D423</f>
        <v>0</v>
      </c>
      <c r="G423" s="21" t="e">
        <f t="shared" si="263"/>
        <v>#DIV/0!</v>
      </c>
      <c r="H423" s="34">
        <f>61-61</f>
        <v>0</v>
      </c>
      <c r="I423" s="34">
        <f>61-61</f>
        <v>0</v>
      </c>
    </row>
    <row r="424" spans="1:9" hidden="1" x14ac:dyDescent="0.2">
      <c r="A424" s="58"/>
      <c r="B424" s="60" t="s">
        <v>191</v>
      </c>
      <c r="C424" s="61" t="s">
        <v>192</v>
      </c>
      <c r="D424" s="28">
        <f>61-61</f>
        <v>0</v>
      </c>
      <c r="E424" s="28">
        <f>'Buget 2024'!D424</f>
        <v>0</v>
      </c>
      <c r="F424" s="29">
        <f t="shared" si="270"/>
        <v>0</v>
      </c>
      <c r="G424" s="21" t="e">
        <f t="shared" si="263"/>
        <v>#DIV/0!</v>
      </c>
      <c r="H424" s="28">
        <f>61-61</f>
        <v>0</v>
      </c>
      <c r="I424" s="28">
        <f>61-61</f>
        <v>0</v>
      </c>
    </row>
    <row r="425" spans="1:9" hidden="1" x14ac:dyDescent="0.2">
      <c r="A425" s="81" t="s">
        <v>29</v>
      </c>
      <c r="B425" s="81" t="s">
        <v>123</v>
      </c>
      <c r="C425" s="93" t="s">
        <v>186</v>
      </c>
      <c r="D425" s="83"/>
      <c r="E425" s="83"/>
      <c r="F425" s="83"/>
      <c r="G425" s="21" t="e">
        <f t="shared" si="263"/>
        <v>#DIV/0!</v>
      </c>
      <c r="H425" s="83"/>
      <c r="I425" s="83"/>
    </row>
    <row r="426" spans="1:9" hidden="1" x14ac:dyDescent="0.2">
      <c r="A426" s="81"/>
      <c r="B426" s="22" t="s">
        <v>189</v>
      </c>
      <c r="C426" s="53" t="s">
        <v>190</v>
      </c>
      <c r="D426" s="83">
        <f>D429+D432+D435</f>
        <v>0</v>
      </c>
      <c r="E426" s="83">
        <f t="shared" ref="E426:F427" si="271">E429+E432+E435</f>
        <v>0</v>
      </c>
      <c r="F426" s="83">
        <f t="shared" si="271"/>
        <v>0</v>
      </c>
      <c r="G426" s="21" t="e">
        <f t="shared" si="263"/>
        <v>#DIV/0!</v>
      </c>
      <c r="H426" s="83">
        <f>H429+H432+H435</f>
        <v>0</v>
      </c>
      <c r="I426" s="83">
        <f>I429+I432+I435</f>
        <v>0</v>
      </c>
    </row>
    <row r="427" spans="1:9" hidden="1" x14ac:dyDescent="0.2">
      <c r="A427" s="81"/>
      <c r="B427" s="22" t="s">
        <v>191</v>
      </c>
      <c r="C427" s="53" t="s">
        <v>192</v>
      </c>
      <c r="D427" s="83">
        <f>D430+D433+D436</f>
        <v>0</v>
      </c>
      <c r="E427" s="83">
        <f t="shared" si="271"/>
        <v>0</v>
      </c>
      <c r="F427" s="83">
        <f t="shared" si="271"/>
        <v>0</v>
      </c>
      <c r="G427" s="21" t="e">
        <f t="shared" si="263"/>
        <v>#DIV/0!</v>
      </c>
      <c r="H427" s="83">
        <f>H430+H433+H436</f>
        <v>0</v>
      </c>
      <c r="I427" s="83">
        <f>I430+I433+I436</f>
        <v>0</v>
      </c>
    </row>
    <row r="428" spans="1:9" hidden="1" x14ac:dyDescent="0.2">
      <c r="A428" s="58" t="s">
        <v>29</v>
      </c>
      <c r="B428" s="58" t="s">
        <v>273</v>
      </c>
      <c r="C428" s="33" t="s">
        <v>240</v>
      </c>
      <c r="D428" s="90"/>
      <c r="E428" s="90"/>
      <c r="F428" s="90"/>
      <c r="G428" s="21" t="e">
        <f t="shared" si="263"/>
        <v>#DIV/0!</v>
      </c>
      <c r="H428" s="90"/>
      <c r="I428" s="90"/>
    </row>
    <row r="429" spans="1:9" hidden="1" x14ac:dyDescent="0.2">
      <c r="A429" s="58"/>
      <c r="B429" s="58" t="s">
        <v>189</v>
      </c>
      <c r="C429" s="59" t="s">
        <v>190</v>
      </c>
      <c r="D429" s="35"/>
      <c r="E429" s="28">
        <f>'Buget 2024'!D429</f>
        <v>0</v>
      </c>
      <c r="F429" s="29">
        <f t="shared" ref="F429:F430" si="272">E429-D429</f>
        <v>0</v>
      </c>
      <c r="G429" s="21" t="e">
        <f t="shared" si="263"/>
        <v>#DIV/0!</v>
      </c>
      <c r="H429" s="35"/>
      <c r="I429" s="35"/>
    </row>
    <row r="430" spans="1:9" hidden="1" x14ac:dyDescent="0.2">
      <c r="A430" s="58"/>
      <c r="B430" s="60" t="s">
        <v>191</v>
      </c>
      <c r="C430" s="61" t="s">
        <v>192</v>
      </c>
      <c r="D430" s="35"/>
      <c r="E430" s="28">
        <f>'Buget 2024'!D430</f>
        <v>0</v>
      </c>
      <c r="F430" s="29">
        <f t="shared" si="272"/>
        <v>0</v>
      </c>
      <c r="G430" s="21" t="e">
        <f t="shared" si="263"/>
        <v>#DIV/0!</v>
      </c>
      <c r="H430" s="35"/>
      <c r="I430" s="35"/>
    </row>
    <row r="431" spans="1:9" hidden="1" x14ac:dyDescent="0.2">
      <c r="A431" s="58" t="s">
        <v>29</v>
      </c>
      <c r="B431" s="58" t="s">
        <v>124</v>
      </c>
      <c r="C431" s="89" t="s">
        <v>243</v>
      </c>
      <c r="D431" s="90"/>
      <c r="E431" s="90"/>
      <c r="F431" s="90"/>
      <c r="G431" s="21" t="e">
        <f t="shared" si="263"/>
        <v>#DIV/0!</v>
      </c>
      <c r="H431" s="90"/>
      <c r="I431" s="90"/>
    </row>
    <row r="432" spans="1:9" hidden="1" x14ac:dyDescent="0.2">
      <c r="A432" s="58"/>
      <c r="B432" s="58" t="s">
        <v>189</v>
      </c>
      <c r="C432" s="59" t="s">
        <v>190</v>
      </c>
      <c r="D432" s="35">
        <f>180-180</f>
        <v>0</v>
      </c>
      <c r="E432" s="28">
        <f>'Buget 2024'!D432</f>
        <v>0</v>
      </c>
      <c r="F432" s="29">
        <f t="shared" ref="F432:F433" si="273">E432-D432</f>
        <v>0</v>
      </c>
      <c r="G432" s="21" t="e">
        <f t="shared" si="263"/>
        <v>#DIV/0!</v>
      </c>
      <c r="H432" s="35">
        <f>180-180</f>
        <v>0</v>
      </c>
      <c r="I432" s="35">
        <f>180-180</f>
        <v>0</v>
      </c>
    </row>
    <row r="433" spans="1:9" hidden="1" x14ac:dyDescent="0.2">
      <c r="A433" s="58"/>
      <c r="B433" s="60" t="s">
        <v>191</v>
      </c>
      <c r="C433" s="61" t="s">
        <v>192</v>
      </c>
      <c r="D433" s="35">
        <f>180-180</f>
        <v>0</v>
      </c>
      <c r="E433" s="28">
        <f>'Buget 2024'!D433</f>
        <v>0</v>
      </c>
      <c r="F433" s="29">
        <f t="shared" si="273"/>
        <v>0</v>
      </c>
      <c r="G433" s="21" t="e">
        <f t="shared" si="263"/>
        <v>#DIV/0!</v>
      </c>
      <c r="H433" s="35">
        <f>180-180</f>
        <v>0</v>
      </c>
      <c r="I433" s="35">
        <f>180-180</f>
        <v>0</v>
      </c>
    </row>
    <row r="434" spans="1:9" hidden="1" x14ac:dyDescent="0.2">
      <c r="A434" s="58" t="s">
        <v>29</v>
      </c>
      <c r="B434" s="58" t="s">
        <v>125</v>
      </c>
      <c r="C434" s="33" t="s">
        <v>114</v>
      </c>
      <c r="D434" s="35"/>
      <c r="E434" s="35"/>
      <c r="F434" s="35"/>
      <c r="G434" s="21" t="e">
        <f t="shared" si="263"/>
        <v>#DIV/0!</v>
      </c>
      <c r="H434" s="35"/>
      <c r="I434" s="35"/>
    </row>
    <row r="435" spans="1:9" hidden="1" x14ac:dyDescent="0.2">
      <c r="A435" s="58"/>
      <c r="B435" s="58" t="s">
        <v>189</v>
      </c>
      <c r="C435" s="59" t="s">
        <v>190</v>
      </c>
      <c r="D435" s="35">
        <v>0</v>
      </c>
      <c r="E435" s="35">
        <v>0</v>
      </c>
      <c r="F435" s="35">
        <v>0</v>
      </c>
      <c r="G435" s="21" t="e">
        <f t="shared" si="263"/>
        <v>#DIV/0!</v>
      </c>
      <c r="H435" s="35">
        <v>0</v>
      </c>
      <c r="I435" s="35">
        <v>0</v>
      </c>
    </row>
    <row r="436" spans="1:9" hidden="1" x14ac:dyDescent="0.2">
      <c r="A436" s="58"/>
      <c r="B436" s="60" t="s">
        <v>191</v>
      </c>
      <c r="C436" s="61" t="s">
        <v>192</v>
      </c>
      <c r="D436" s="27">
        <v>0</v>
      </c>
      <c r="E436" s="27">
        <v>0</v>
      </c>
      <c r="F436" s="27">
        <v>0</v>
      </c>
      <c r="G436" s="21" t="e">
        <f t="shared" si="263"/>
        <v>#DIV/0!</v>
      </c>
      <c r="H436" s="27">
        <v>0</v>
      </c>
      <c r="I436" s="27">
        <v>0</v>
      </c>
    </row>
    <row r="437" spans="1:9" x14ac:dyDescent="0.2">
      <c r="A437" s="22" t="s">
        <v>29</v>
      </c>
      <c r="B437" s="94" t="s">
        <v>35</v>
      </c>
      <c r="C437" s="95" t="s">
        <v>105</v>
      </c>
      <c r="D437" s="96"/>
      <c r="E437" s="96"/>
      <c r="F437" s="96"/>
      <c r="G437" s="21" t="e">
        <f t="shared" si="263"/>
        <v>#DIV/0!</v>
      </c>
      <c r="H437" s="96"/>
      <c r="I437" s="96"/>
    </row>
    <row r="438" spans="1:9" x14ac:dyDescent="0.2">
      <c r="A438" s="22"/>
      <c r="B438" s="22" t="s">
        <v>189</v>
      </c>
      <c r="C438" s="53" t="s">
        <v>190</v>
      </c>
      <c r="D438" s="96">
        <f>D441+D444+D447</f>
        <v>9806</v>
      </c>
      <c r="E438" s="96">
        <f t="shared" ref="E438:F438" si="274">E441+E444+E447</f>
        <v>47064</v>
      </c>
      <c r="F438" s="96">
        <f t="shared" si="274"/>
        <v>37258</v>
      </c>
      <c r="G438" s="21">
        <f t="shared" si="263"/>
        <v>379.95105037732003</v>
      </c>
      <c r="H438" s="96">
        <f t="shared" ref="H438:I438" si="275">H441+H444+H447</f>
        <v>0</v>
      </c>
      <c r="I438" s="96">
        <f t="shared" si="275"/>
        <v>37258</v>
      </c>
    </row>
    <row r="439" spans="1:9" x14ac:dyDescent="0.2">
      <c r="A439" s="22"/>
      <c r="B439" s="22" t="s">
        <v>191</v>
      </c>
      <c r="C439" s="53" t="s">
        <v>192</v>
      </c>
      <c r="D439" s="96">
        <f>D442+D445+D448</f>
        <v>9806</v>
      </c>
      <c r="E439" s="96">
        <f t="shared" ref="E439:F439" si="276">E442+E445+E448</f>
        <v>47064</v>
      </c>
      <c r="F439" s="96">
        <f t="shared" si="276"/>
        <v>37258</v>
      </c>
      <c r="G439" s="21">
        <f t="shared" si="263"/>
        <v>379.95105037732003</v>
      </c>
      <c r="H439" s="96">
        <f t="shared" ref="H439:I439" si="277">H442+H445+H448</f>
        <v>0</v>
      </c>
      <c r="I439" s="96">
        <f t="shared" si="277"/>
        <v>37258</v>
      </c>
    </row>
    <row r="440" spans="1:9" x14ac:dyDescent="0.2">
      <c r="A440" s="32" t="s">
        <v>29</v>
      </c>
      <c r="B440" s="58" t="s">
        <v>126</v>
      </c>
      <c r="C440" s="59" t="s">
        <v>244</v>
      </c>
      <c r="D440" s="35"/>
      <c r="E440" s="35"/>
      <c r="F440" s="35"/>
      <c r="G440" s="21" t="e">
        <f t="shared" si="263"/>
        <v>#DIV/0!</v>
      </c>
      <c r="H440" s="35"/>
      <c r="I440" s="35"/>
    </row>
    <row r="441" spans="1:9" x14ac:dyDescent="0.2">
      <c r="A441" s="32"/>
      <c r="B441" s="58" t="s">
        <v>189</v>
      </c>
      <c r="C441" s="59" t="s">
        <v>190</v>
      </c>
      <c r="D441" s="35">
        <v>10</v>
      </c>
      <c r="E441" s="28">
        <f>'Buget 2024'!D441</f>
        <v>10</v>
      </c>
      <c r="F441" s="29">
        <f t="shared" ref="F441:F442" si="278">E441-D441</f>
        <v>0</v>
      </c>
      <c r="G441" s="21">
        <f t="shared" si="263"/>
        <v>0</v>
      </c>
      <c r="H441" s="27"/>
      <c r="I441" s="27">
        <f t="shared" ref="I441:I442" si="279">F441-H441</f>
        <v>0</v>
      </c>
    </row>
    <row r="442" spans="1:9" x14ac:dyDescent="0.2">
      <c r="A442" s="32"/>
      <c r="B442" s="60" t="s">
        <v>191</v>
      </c>
      <c r="C442" s="61" t="s">
        <v>192</v>
      </c>
      <c r="D442" s="27">
        <v>10</v>
      </c>
      <c r="E442" s="28">
        <f>'Buget 2024'!D442</f>
        <v>10</v>
      </c>
      <c r="F442" s="29">
        <f t="shared" si="278"/>
        <v>0</v>
      </c>
      <c r="G442" s="21">
        <f t="shared" si="263"/>
        <v>0</v>
      </c>
      <c r="H442" s="27"/>
      <c r="I442" s="27">
        <f t="shared" si="279"/>
        <v>0</v>
      </c>
    </row>
    <row r="443" spans="1:9" x14ac:dyDescent="0.2">
      <c r="A443" s="32" t="s">
        <v>245</v>
      </c>
      <c r="B443" s="58" t="s">
        <v>158</v>
      </c>
      <c r="C443" s="59" t="s">
        <v>159</v>
      </c>
      <c r="D443" s="35"/>
      <c r="E443" s="35"/>
      <c r="F443" s="35"/>
      <c r="G443" s="21" t="e">
        <f t="shared" ref="G443:G445" si="280">F443/D443*100</f>
        <v>#DIV/0!</v>
      </c>
      <c r="H443" s="35"/>
      <c r="I443" s="35"/>
    </row>
    <row r="444" spans="1:9" x14ac:dyDescent="0.2">
      <c r="A444" s="32"/>
      <c r="B444" s="58" t="s">
        <v>189</v>
      </c>
      <c r="C444" s="59" t="s">
        <v>190</v>
      </c>
      <c r="D444" s="35">
        <v>9796</v>
      </c>
      <c r="E444" s="28">
        <f>'Buget 2024'!D444</f>
        <v>9366</v>
      </c>
      <c r="F444" s="29">
        <f t="shared" ref="F444:F445" si="281">E444-D444</f>
        <v>-430</v>
      </c>
      <c r="G444" s="21">
        <f t="shared" si="280"/>
        <v>-4.3895467537770516</v>
      </c>
      <c r="H444" s="27"/>
      <c r="I444" s="27">
        <f t="shared" ref="I444:I445" si="282">F444-H444</f>
        <v>-430</v>
      </c>
    </row>
    <row r="445" spans="1:9" x14ac:dyDescent="0.2">
      <c r="A445" s="32"/>
      <c r="B445" s="60" t="s">
        <v>191</v>
      </c>
      <c r="C445" s="61" t="s">
        <v>192</v>
      </c>
      <c r="D445" s="27">
        <v>9796</v>
      </c>
      <c r="E445" s="28">
        <f>'Buget 2024'!D445</f>
        <v>9366</v>
      </c>
      <c r="F445" s="29">
        <f t="shared" si="281"/>
        <v>-430</v>
      </c>
      <c r="G445" s="21">
        <f t="shared" si="280"/>
        <v>-4.3895467537770516</v>
      </c>
      <c r="H445" s="27"/>
      <c r="I445" s="27">
        <f t="shared" si="282"/>
        <v>-430</v>
      </c>
    </row>
    <row r="446" spans="1:9" x14ac:dyDescent="0.2">
      <c r="A446" s="32" t="s">
        <v>245</v>
      </c>
      <c r="B446" s="58" t="s">
        <v>411</v>
      </c>
      <c r="C446" s="59" t="s">
        <v>412</v>
      </c>
      <c r="D446" s="35"/>
      <c r="E446" s="35"/>
      <c r="F446" s="35"/>
      <c r="G446" s="21" t="e">
        <f t="shared" si="263"/>
        <v>#DIV/0!</v>
      </c>
      <c r="H446" s="35"/>
      <c r="I446" s="35"/>
    </row>
    <row r="447" spans="1:9" x14ac:dyDescent="0.2">
      <c r="A447" s="32"/>
      <c r="B447" s="58" t="s">
        <v>189</v>
      </c>
      <c r="C447" s="59" t="s">
        <v>190</v>
      </c>
      <c r="D447" s="35"/>
      <c r="E447" s="28">
        <f>'Buget 2024'!D447</f>
        <v>37688</v>
      </c>
      <c r="F447" s="29">
        <f t="shared" ref="F447:F448" si="283">E447-D447</f>
        <v>37688</v>
      </c>
      <c r="G447" s="21" t="e">
        <f t="shared" si="263"/>
        <v>#DIV/0!</v>
      </c>
      <c r="H447" s="27"/>
      <c r="I447" s="27">
        <f t="shared" ref="I447:I448" si="284">F447-H447</f>
        <v>37688</v>
      </c>
    </row>
    <row r="448" spans="1:9" x14ac:dyDescent="0.2">
      <c r="A448" s="32"/>
      <c r="B448" s="60" t="s">
        <v>191</v>
      </c>
      <c r="C448" s="61" t="s">
        <v>192</v>
      </c>
      <c r="D448" s="27"/>
      <c r="E448" s="28">
        <f>'Buget 2024'!D448</f>
        <v>37688</v>
      </c>
      <c r="F448" s="29">
        <f t="shared" si="283"/>
        <v>37688</v>
      </c>
      <c r="G448" s="21" t="e">
        <f t="shared" si="263"/>
        <v>#DIV/0!</v>
      </c>
      <c r="H448" s="27"/>
      <c r="I448" s="27">
        <f t="shared" si="284"/>
        <v>37688</v>
      </c>
    </row>
    <row r="449" spans="1:9" x14ac:dyDescent="0.2">
      <c r="A449" s="22" t="s">
        <v>29</v>
      </c>
      <c r="B449" s="22" t="s">
        <v>127</v>
      </c>
      <c r="C449" s="23" t="s">
        <v>128</v>
      </c>
      <c r="D449" s="24"/>
      <c r="E449" s="24"/>
      <c r="F449" s="24"/>
      <c r="G449" s="21" t="e">
        <f t="shared" si="263"/>
        <v>#DIV/0!</v>
      </c>
      <c r="H449" s="24"/>
      <c r="I449" s="24"/>
    </row>
    <row r="450" spans="1:9" x14ac:dyDescent="0.2">
      <c r="A450" s="22"/>
      <c r="B450" s="22" t="s">
        <v>189</v>
      </c>
      <c r="C450" s="23" t="s">
        <v>190</v>
      </c>
      <c r="D450" s="24">
        <f>D453+D474</f>
        <v>330459</v>
      </c>
      <c r="E450" s="24">
        <f t="shared" ref="E450:F450" si="285">E453+E474</f>
        <v>335511</v>
      </c>
      <c r="F450" s="24">
        <f t="shared" si="285"/>
        <v>5052</v>
      </c>
      <c r="G450" s="21">
        <f t="shared" si="263"/>
        <v>1.5287826931631459</v>
      </c>
      <c r="H450" s="24">
        <f>H453+H474</f>
        <v>0</v>
      </c>
      <c r="I450" s="24">
        <f>I453+I474</f>
        <v>5052</v>
      </c>
    </row>
    <row r="451" spans="1:9" x14ac:dyDescent="0.2">
      <c r="A451" s="22"/>
      <c r="B451" s="22" t="s">
        <v>191</v>
      </c>
      <c r="C451" s="53" t="s">
        <v>192</v>
      </c>
      <c r="D451" s="24">
        <f>D454+D475</f>
        <v>301000</v>
      </c>
      <c r="E451" s="24">
        <f t="shared" ref="E451:F451" si="286">E454+E475</f>
        <v>306052</v>
      </c>
      <c r="F451" s="24">
        <f t="shared" si="286"/>
        <v>5052</v>
      </c>
      <c r="G451" s="21">
        <f t="shared" si="263"/>
        <v>1.6784053156146179</v>
      </c>
      <c r="H451" s="24">
        <f>H454+H475</f>
        <v>0</v>
      </c>
      <c r="I451" s="24">
        <f>I454+I475</f>
        <v>5052</v>
      </c>
    </row>
    <row r="452" spans="1:9" x14ac:dyDescent="0.2">
      <c r="A452" s="22" t="s">
        <v>29</v>
      </c>
      <c r="B452" s="22" t="s">
        <v>129</v>
      </c>
      <c r="C452" s="23" t="s">
        <v>130</v>
      </c>
      <c r="D452" s="24"/>
      <c r="E452" s="24"/>
      <c r="F452" s="24"/>
      <c r="G452" s="21" t="e">
        <f t="shared" si="263"/>
        <v>#DIV/0!</v>
      </c>
      <c r="H452" s="24"/>
      <c r="I452" s="24"/>
    </row>
    <row r="453" spans="1:9" x14ac:dyDescent="0.2">
      <c r="A453" s="22"/>
      <c r="B453" s="22" t="s">
        <v>189</v>
      </c>
      <c r="C453" s="23" t="s">
        <v>190</v>
      </c>
      <c r="D453" s="24">
        <f>D456+D471</f>
        <v>330459</v>
      </c>
      <c r="E453" s="24">
        <f t="shared" ref="E453:F454" si="287">E456+E471</f>
        <v>335511</v>
      </c>
      <c r="F453" s="24">
        <f t="shared" si="287"/>
        <v>5052</v>
      </c>
      <c r="G453" s="21">
        <f t="shared" si="263"/>
        <v>1.5287826931631459</v>
      </c>
      <c r="H453" s="24">
        <f>H456+H471</f>
        <v>0</v>
      </c>
      <c r="I453" s="24">
        <f>I456+I471</f>
        <v>5052</v>
      </c>
    </row>
    <row r="454" spans="1:9" x14ac:dyDescent="0.2">
      <c r="A454" s="22"/>
      <c r="B454" s="22" t="s">
        <v>191</v>
      </c>
      <c r="C454" s="53" t="s">
        <v>192</v>
      </c>
      <c r="D454" s="24">
        <f>D457+D472</f>
        <v>301000</v>
      </c>
      <c r="E454" s="24">
        <f t="shared" si="287"/>
        <v>306052</v>
      </c>
      <c r="F454" s="24">
        <f t="shared" si="287"/>
        <v>5052</v>
      </c>
      <c r="G454" s="21">
        <f t="shared" si="263"/>
        <v>1.6784053156146179</v>
      </c>
      <c r="H454" s="24">
        <f>H457+H472</f>
        <v>0</v>
      </c>
      <c r="I454" s="24">
        <f>I457+I472</f>
        <v>5052</v>
      </c>
    </row>
    <row r="455" spans="1:9" x14ac:dyDescent="0.2">
      <c r="A455" s="22" t="s">
        <v>29</v>
      </c>
      <c r="B455" s="22" t="s">
        <v>131</v>
      </c>
      <c r="C455" s="23" t="s">
        <v>132</v>
      </c>
      <c r="D455" s="24"/>
      <c r="E455" s="24"/>
      <c r="F455" s="24"/>
      <c r="G455" s="21" t="e">
        <f t="shared" si="263"/>
        <v>#DIV/0!</v>
      </c>
      <c r="H455" s="24"/>
      <c r="I455" s="24"/>
    </row>
    <row r="456" spans="1:9" x14ac:dyDescent="0.2">
      <c r="A456" s="22"/>
      <c r="B456" s="22" t="s">
        <v>189</v>
      </c>
      <c r="C456" s="23" t="s">
        <v>190</v>
      </c>
      <c r="D456" s="24">
        <f t="shared" ref="D456:D457" si="288">D459+D462+D465+D468</f>
        <v>298469</v>
      </c>
      <c r="E456" s="24">
        <f t="shared" ref="E456:F457" si="289">E459+E462+E465+E468</f>
        <v>301827</v>
      </c>
      <c r="F456" s="24">
        <f t="shared" si="289"/>
        <v>3358</v>
      </c>
      <c r="G456" s="21">
        <f t="shared" si="263"/>
        <v>1.1250749659093573</v>
      </c>
      <c r="H456" s="24">
        <f t="shared" ref="H456:I457" si="290">H459+H462+H465+H468</f>
        <v>-1694</v>
      </c>
      <c r="I456" s="24">
        <f t="shared" si="290"/>
        <v>5052</v>
      </c>
    </row>
    <row r="457" spans="1:9" x14ac:dyDescent="0.2">
      <c r="A457" s="22"/>
      <c r="B457" s="22" t="s">
        <v>191</v>
      </c>
      <c r="C457" s="53" t="s">
        <v>192</v>
      </c>
      <c r="D457" s="24">
        <f t="shared" si="288"/>
        <v>267343</v>
      </c>
      <c r="E457" s="24">
        <f t="shared" si="289"/>
        <v>270568</v>
      </c>
      <c r="F457" s="24">
        <f t="shared" si="289"/>
        <v>3225</v>
      </c>
      <c r="G457" s="21">
        <f t="shared" si="263"/>
        <v>1.2063154823578697</v>
      </c>
      <c r="H457" s="24">
        <f t="shared" si="290"/>
        <v>-1827</v>
      </c>
      <c r="I457" s="24">
        <f t="shared" si="290"/>
        <v>5052</v>
      </c>
    </row>
    <row r="458" spans="1:9" x14ac:dyDescent="0.2">
      <c r="A458" s="32" t="s">
        <v>29</v>
      </c>
      <c r="B458" s="73" t="s">
        <v>133</v>
      </c>
      <c r="C458" s="33" t="s">
        <v>134</v>
      </c>
      <c r="D458" s="35"/>
      <c r="E458" s="35"/>
      <c r="F458" s="35"/>
      <c r="G458" s="21" t="e">
        <f t="shared" si="263"/>
        <v>#DIV/0!</v>
      </c>
      <c r="H458" s="35"/>
      <c r="I458" s="35"/>
    </row>
    <row r="459" spans="1:9" x14ac:dyDescent="0.2">
      <c r="A459" s="32"/>
      <c r="B459" s="60" t="s">
        <v>189</v>
      </c>
      <c r="C459" s="97" t="s">
        <v>190</v>
      </c>
      <c r="D459" s="34">
        <f>255812+800+8500</f>
        <v>265112</v>
      </c>
      <c r="E459" s="28">
        <f>'Buget 2024'!D459</f>
        <v>265739</v>
      </c>
      <c r="F459" s="29">
        <f t="shared" ref="F459:F460" si="291">E459-D459</f>
        <v>627</v>
      </c>
      <c r="G459" s="21">
        <f t="shared" si="263"/>
        <v>0.23650381725459427</v>
      </c>
      <c r="H459" s="27">
        <v>-4425</v>
      </c>
      <c r="I459" s="27">
        <f t="shared" ref="I459:I460" si="292">F459-H459</f>
        <v>5052</v>
      </c>
    </row>
    <row r="460" spans="1:9" x14ac:dyDescent="0.2">
      <c r="A460" s="32"/>
      <c r="B460" s="60" t="s">
        <v>191</v>
      </c>
      <c r="C460" s="97" t="s">
        <v>192</v>
      </c>
      <c r="D460" s="34">
        <f>233186+800</f>
        <v>233986</v>
      </c>
      <c r="E460" s="28">
        <f>'Buget 2024'!D460</f>
        <v>234480</v>
      </c>
      <c r="F460" s="29">
        <f t="shared" si="291"/>
        <v>494</v>
      </c>
      <c r="G460" s="21">
        <f t="shared" si="263"/>
        <v>0.21112374244612928</v>
      </c>
      <c r="H460" s="27">
        <v>-4558</v>
      </c>
      <c r="I460" s="27">
        <f t="shared" si="292"/>
        <v>5052</v>
      </c>
    </row>
    <row r="461" spans="1:9" x14ac:dyDescent="0.2">
      <c r="A461" s="32" t="s">
        <v>29</v>
      </c>
      <c r="B461" s="73" t="s">
        <v>135</v>
      </c>
      <c r="C461" s="33" t="s">
        <v>136</v>
      </c>
      <c r="D461" s="34"/>
      <c r="E461" s="35"/>
      <c r="F461" s="35"/>
      <c r="G461" s="21" t="e">
        <f t="shared" si="263"/>
        <v>#DIV/0!</v>
      </c>
      <c r="H461" s="34"/>
      <c r="I461" s="34"/>
    </row>
    <row r="462" spans="1:9" x14ac:dyDescent="0.2">
      <c r="A462" s="32"/>
      <c r="B462" s="60" t="s">
        <v>189</v>
      </c>
      <c r="C462" s="97" t="s">
        <v>190</v>
      </c>
      <c r="D462" s="34">
        <f>29098-32+200</f>
        <v>29266</v>
      </c>
      <c r="E462" s="28">
        <f>'Buget 2024'!D462</f>
        <v>32012</v>
      </c>
      <c r="F462" s="29">
        <f t="shared" ref="F462:F463" si="293">E462-D462</f>
        <v>2746</v>
      </c>
      <c r="G462" s="21">
        <f t="shared" si="263"/>
        <v>9.3829016606300826</v>
      </c>
      <c r="H462" s="27">
        <v>2746</v>
      </c>
      <c r="I462" s="27">
        <f t="shared" ref="I462:I463" si="294">F462-H462</f>
        <v>0</v>
      </c>
    </row>
    <row r="463" spans="1:9" x14ac:dyDescent="0.2">
      <c r="A463" s="32"/>
      <c r="B463" s="60" t="s">
        <v>191</v>
      </c>
      <c r="C463" s="97" t="s">
        <v>192</v>
      </c>
      <c r="D463" s="34">
        <f>29098-32+200</f>
        <v>29266</v>
      </c>
      <c r="E463" s="28">
        <f>'Buget 2024'!D463</f>
        <v>32012</v>
      </c>
      <c r="F463" s="29">
        <f t="shared" si="293"/>
        <v>2746</v>
      </c>
      <c r="G463" s="21">
        <f t="shared" si="263"/>
        <v>9.3829016606300826</v>
      </c>
      <c r="H463" s="27">
        <v>2746</v>
      </c>
      <c r="I463" s="27">
        <f t="shared" si="294"/>
        <v>0</v>
      </c>
    </row>
    <row r="464" spans="1:9" hidden="1" x14ac:dyDescent="0.2">
      <c r="A464" s="32" t="s">
        <v>29</v>
      </c>
      <c r="B464" s="73" t="s">
        <v>137</v>
      </c>
      <c r="C464" s="33" t="s">
        <v>138</v>
      </c>
      <c r="D464" s="34"/>
      <c r="E464" s="35"/>
      <c r="F464" s="35"/>
      <c r="G464" s="21" t="e">
        <f t="shared" si="263"/>
        <v>#DIV/0!</v>
      </c>
      <c r="H464" s="34"/>
      <c r="I464" s="34"/>
    </row>
    <row r="465" spans="1:9" hidden="1" x14ac:dyDescent="0.2">
      <c r="A465" s="32"/>
      <c r="B465" s="60" t="s">
        <v>189</v>
      </c>
      <c r="C465" s="97" t="s">
        <v>190</v>
      </c>
      <c r="D465" s="35"/>
      <c r="E465" s="28">
        <f>'Buget 2024'!D465</f>
        <v>0</v>
      </c>
      <c r="F465" s="29">
        <f t="shared" ref="F465:F466" si="295">E465-D465</f>
        <v>0</v>
      </c>
      <c r="G465" s="21" t="e">
        <f t="shared" si="263"/>
        <v>#DIV/0!</v>
      </c>
      <c r="H465" s="35"/>
      <c r="I465" s="35"/>
    </row>
    <row r="466" spans="1:9" hidden="1" x14ac:dyDescent="0.2">
      <c r="A466" s="32"/>
      <c r="B466" s="60" t="s">
        <v>191</v>
      </c>
      <c r="C466" s="97" t="s">
        <v>192</v>
      </c>
      <c r="D466" s="35"/>
      <c r="E466" s="28">
        <f>'Buget 2024'!D466</f>
        <v>0</v>
      </c>
      <c r="F466" s="29">
        <f t="shared" si="295"/>
        <v>0</v>
      </c>
      <c r="G466" s="21" t="e">
        <f t="shared" si="263"/>
        <v>#DIV/0!</v>
      </c>
      <c r="H466" s="35"/>
      <c r="I466" s="35"/>
    </row>
    <row r="467" spans="1:9" x14ac:dyDescent="0.2">
      <c r="A467" s="32" t="s">
        <v>29</v>
      </c>
      <c r="B467" s="73" t="s">
        <v>139</v>
      </c>
      <c r="C467" s="33" t="s">
        <v>305</v>
      </c>
      <c r="D467" s="35"/>
      <c r="E467" s="35"/>
      <c r="F467" s="35"/>
      <c r="G467" s="21" t="e">
        <f t="shared" si="263"/>
        <v>#DIV/0!</v>
      </c>
      <c r="H467" s="35"/>
      <c r="I467" s="35"/>
    </row>
    <row r="468" spans="1:9" x14ac:dyDescent="0.2">
      <c r="A468" s="32"/>
      <c r="B468" s="60" t="s">
        <v>189</v>
      </c>
      <c r="C468" s="97" t="s">
        <v>190</v>
      </c>
      <c r="D468" s="35">
        <f>3220+871</f>
        <v>4091</v>
      </c>
      <c r="E468" s="28">
        <f>'Buget 2024'!D468</f>
        <v>4076</v>
      </c>
      <c r="F468" s="29">
        <f t="shared" ref="F468:F469" si="296">E468-D468</f>
        <v>-15</v>
      </c>
      <c r="G468" s="21">
        <f t="shared" si="263"/>
        <v>-0.36665851869958443</v>
      </c>
      <c r="H468" s="27">
        <v>-15</v>
      </c>
      <c r="I468" s="27">
        <f t="shared" ref="I468:I469" si="297">F468-H468</f>
        <v>0</v>
      </c>
    </row>
    <row r="469" spans="1:9" x14ac:dyDescent="0.2">
      <c r="A469" s="32"/>
      <c r="B469" s="60" t="s">
        <v>191</v>
      </c>
      <c r="C469" s="97" t="s">
        <v>192</v>
      </c>
      <c r="D469" s="35">
        <f>3220+871</f>
        <v>4091</v>
      </c>
      <c r="E469" s="28">
        <f>'Buget 2024'!D469</f>
        <v>4076</v>
      </c>
      <c r="F469" s="29">
        <f t="shared" si="296"/>
        <v>-15</v>
      </c>
      <c r="G469" s="21">
        <f t="shared" si="263"/>
        <v>-0.36665851869958443</v>
      </c>
      <c r="H469" s="27">
        <v>-15</v>
      </c>
      <c r="I469" s="27">
        <f t="shared" si="297"/>
        <v>0</v>
      </c>
    </row>
    <row r="470" spans="1:9" x14ac:dyDescent="0.2">
      <c r="A470" s="22" t="s">
        <v>29</v>
      </c>
      <c r="B470" s="22" t="s">
        <v>140</v>
      </c>
      <c r="C470" s="41" t="s">
        <v>246</v>
      </c>
      <c r="D470" s="77"/>
      <c r="E470" s="77"/>
      <c r="F470" s="77"/>
      <c r="G470" s="21" t="e">
        <f t="shared" si="263"/>
        <v>#DIV/0!</v>
      </c>
      <c r="H470" s="77"/>
      <c r="I470" s="77"/>
    </row>
    <row r="471" spans="1:9" x14ac:dyDescent="0.2">
      <c r="A471" s="22"/>
      <c r="B471" s="22" t="s">
        <v>189</v>
      </c>
      <c r="C471" s="53" t="s">
        <v>190</v>
      </c>
      <c r="D471" s="77">
        <v>31990</v>
      </c>
      <c r="E471" s="77">
        <f>'Buget 2024'!D471</f>
        <v>33684</v>
      </c>
      <c r="F471" s="77">
        <f t="shared" ref="F471:F472" si="298">E471-D471</f>
        <v>1694</v>
      </c>
      <c r="G471" s="21">
        <f t="shared" si="263"/>
        <v>5.2954048140043763</v>
      </c>
      <c r="H471" s="77">
        <v>1694</v>
      </c>
      <c r="I471" s="77">
        <f t="shared" ref="I471:I472" si="299">F471-H471</f>
        <v>0</v>
      </c>
    </row>
    <row r="472" spans="1:9" x14ac:dyDescent="0.2">
      <c r="A472" s="22"/>
      <c r="B472" s="22" t="s">
        <v>191</v>
      </c>
      <c r="C472" s="53" t="s">
        <v>192</v>
      </c>
      <c r="D472" s="77">
        <v>33657</v>
      </c>
      <c r="E472" s="77">
        <f>'Buget 2024'!D472</f>
        <v>35484</v>
      </c>
      <c r="F472" s="77">
        <f t="shared" si="298"/>
        <v>1827</v>
      </c>
      <c r="G472" s="21">
        <f t="shared" si="263"/>
        <v>5.4282912915589625</v>
      </c>
      <c r="H472" s="77">
        <v>1827</v>
      </c>
      <c r="I472" s="77">
        <f t="shared" si="299"/>
        <v>0</v>
      </c>
    </row>
    <row r="473" spans="1:9" hidden="1" x14ac:dyDescent="0.2">
      <c r="A473" s="22" t="s">
        <v>29</v>
      </c>
      <c r="B473" s="22">
        <v>72</v>
      </c>
      <c r="C473" s="23" t="s">
        <v>365</v>
      </c>
      <c r="D473" s="24"/>
      <c r="E473" s="77"/>
      <c r="F473" s="77"/>
      <c r="G473" s="21" t="e">
        <f t="shared" si="263"/>
        <v>#DIV/0!</v>
      </c>
      <c r="H473" s="24"/>
      <c r="I473" s="24"/>
    </row>
    <row r="474" spans="1:9" hidden="1" x14ac:dyDescent="0.2">
      <c r="A474" s="22"/>
      <c r="B474" s="22" t="s">
        <v>189</v>
      </c>
      <c r="C474" s="23" t="s">
        <v>190</v>
      </c>
      <c r="D474" s="24">
        <f>D477</f>
        <v>0</v>
      </c>
      <c r="E474" s="77">
        <f t="shared" ref="E474:F474" si="300">E477</f>
        <v>0</v>
      </c>
      <c r="F474" s="77">
        <f t="shared" si="300"/>
        <v>0</v>
      </c>
      <c r="G474" s="21" t="e">
        <f t="shared" si="263"/>
        <v>#DIV/0!</v>
      </c>
      <c r="H474" s="24">
        <f>H477</f>
        <v>0</v>
      </c>
      <c r="I474" s="24">
        <f>I477</f>
        <v>0</v>
      </c>
    </row>
    <row r="475" spans="1:9" hidden="1" x14ac:dyDescent="0.2">
      <c r="A475" s="22"/>
      <c r="B475" s="22" t="s">
        <v>191</v>
      </c>
      <c r="C475" s="53" t="s">
        <v>192</v>
      </c>
      <c r="D475" s="24">
        <f>D478</f>
        <v>0</v>
      </c>
      <c r="E475" s="77">
        <f t="shared" ref="E475:F475" si="301">E478</f>
        <v>0</v>
      </c>
      <c r="F475" s="77">
        <f t="shared" si="301"/>
        <v>0</v>
      </c>
      <c r="G475" s="21" t="e">
        <f t="shared" si="263"/>
        <v>#DIV/0!</v>
      </c>
      <c r="H475" s="24">
        <f>H478</f>
        <v>0</v>
      </c>
      <c r="I475" s="24">
        <f>I478</f>
        <v>0</v>
      </c>
    </row>
    <row r="476" spans="1:9" hidden="1" x14ac:dyDescent="0.2">
      <c r="A476" s="22" t="s">
        <v>29</v>
      </c>
      <c r="B476" s="22" t="s">
        <v>364</v>
      </c>
      <c r="C476" s="23" t="s">
        <v>365</v>
      </c>
      <c r="D476" s="24"/>
      <c r="E476" s="77"/>
      <c r="F476" s="77"/>
      <c r="G476" s="21" t="e">
        <f t="shared" ref="G476:G539" si="302">F476/D476*100</f>
        <v>#DIV/0!</v>
      </c>
      <c r="H476" s="24"/>
      <c r="I476" s="24"/>
    </row>
    <row r="477" spans="1:9" hidden="1" x14ac:dyDescent="0.2">
      <c r="A477" s="22"/>
      <c r="B477" s="22" t="s">
        <v>189</v>
      </c>
      <c r="C477" s="23" t="s">
        <v>190</v>
      </c>
      <c r="D477" s="24">
        <f>D480</f>
        <v>0</v>
      </c>
      <c r="E477" s="77">
        <f t="shared" ref="E477:F477" si="303">E480</f>
        <v>0</v>
      </c>
      <c r="F477" s="77">
        <f t="shared" si="303"/>
        <v>0</v>
      </c>
      <c r="G477" s="21" t="e">
        <f t="shared" si="302"/>
        <v>#DIV/0!</v>
      </c>
      <c r="H477" s="24">
        <f>H480</f>
        <v>0</v>
      </c>
      <c r="I477" s="24">
        <f>I480</f>
        <v>0</v>
      </c>
    </row>
    <row r="478" spans="1:9" hidden="1" x14ac:dyDescent="0.2">
      <c r="A478" s="22"/>
      <c r="B478" s="22" t="s">
        <v>191</v>
      </c>
      <c r="C478" s="53" t="s">
        <v>192</v>
      </c>
      <c r="D478" s="24">
        <f>D481</f>
        <v>0</v>
      </c>
      <c r="E478" s="77">
        <f t="shared" ref="E478:F478" si="304">E481</f>
        <v>0</v>
      </c>
      <c r="F478" s="77">
        <f t="shared" si="304"/>
        <v>0</v>
      </c>
      <c r="G478" s="21" t="e">
        <f t="shared" si="302"/>
        <v>#DIV/0!</v>
      </c>
      <c r="H478" s="24">
        <f>H481</f>
        <v>0</v>
      </c>
      <c r="I478" s="24">
        <f>I481</f>
        <v>0</v>
      </c>
    </row>
    <row r="479" spans="1:9" hidden="1" x14ac:dyDescent="0.2">
      <c r="A479" s="32" t="s">
        <v>29</v>
      </c>
      <c r="B479" s="73" t="s">
        <v>366</v>
      </c>
      <c r="C479" s="33" t="s">
        <v>367</v>
      </c>
      <c r="D479" s="35"/>
      <c r="E479" s="34"/>
      <c r="F479" s="34"/>
      <c r="G479" s="21" t="e">
        <f t="shared" si="302"/>
        <v>#DIV/0!</v>
      </c>
      <c r="H479" s="35"/>
      <c r="I479" s="35"/>
    </row>
    <row r="480" spans="1:9" hidden="1" x14ac:dyDescent="0.2">
      <c r="A480" s="32"/>
      <c r="B480" s="60" t="s">
        <v>189</v>
      </c>
      <c r="C480" s="97" t="s">
        <v>190</v>
      </c>
      <c r="D480" s="34"/>
      <c r="E480" s="28">
        <f>'Buget 2024'!D480</f>
        <v>0</v>
      </c>
      <c r="F480" s="29">
        <f t="shared" ref="F480:F481" si="305">E480-D480</f>
        <v>0</v>
      </c>
      <c r="G480" s="21" t="e">
        <f t="shared" si="302"/>
        <v>#DIV/0!</v>
      </c>
      <c r="H480" s="34"/>
      <c r="I480" s="34"/>
    </row>
    <row r="481" spans="1:9" hidden="1" x14ac:dyDescent="0.2">
      <c r="A481" s="32"/>
      <c r="B481" s="60" t="s">
        <v>191</v>
      </c>
      <c r="C481" s="97" t="s">
        <v>192</v>
      </c>
      <c r="D481" s="34"/>
      <c r="E481" s="28">
        <f>'Buget 2024'!D481</f>
        <v>0</v>
      </c>
      <c r="F481" s="29">
        <f t="shared" si="305"/>
        <v>0</v>
      </c>
      <c r="G481" s="21" t="e">
        <f t="shared" si="302"/>
        <v>#DIV/0!</v>
      </c>
      <c r="H481" s="34"/>
      <c r="I481" s="34"/>
    </row>
    <row r="482" spans="1:9" x14ac:dyDescent="0.2">
      <c r="A482" s="98"/>
      <c r="B482" s="98"/>
      <c r="C482" s="99" t="s">
        <v>141</v>
      </c>
      <c r="D482" s="100"/>
      <c r="E482" s="100"/>
      <c r="F482" s="100"/>
      <c r="G482" s="21" t="e">
        <f t="shared" si="302"/>
        <v>#DIV/0!</v>
      </c>
      <c r="H482" s="100"/>
      <c r="I482" s="100"/>
    </row>
    <row r="483" spans="1:9" x14ac:dyDescent="0.2">
      <c r="A483" s="98"/>
      <c r="B483" s="98" t="s">
        <v>189</v>
      </c>
      <c r="C483" s="99" t="s">
        <v>190</v>
      </c>
      <c r="D483" s="100">
        <f>D486+D588</f>
        <v>1470498</v>
      </c>
      <c r="E483" s="100">
        <f t="shared" ref="E483:F484" si="306">E486+E588</f>
        <v>1631841</v>
      </c>
      <c r="F483" s="100">
        <f t="shared" si="306"/>
        <v>161343</v>
      </c>
      <c r="G483" s="21">
        <f t="shared" si="302"/>
        <v>10.971997241750755</v>
      </c>
      <c r="H483" s="100">
        <f>H486+H588</f>
        <v>0</v>
      </c>
      <c r="I483" s="100">
        <f>I486+I588</f>
        <v>161343</v>
      </c>
    </row>
    <row r="484" spans="1:9" x14ac:dyDescent="0.2">
      <c r="A484" s="98"/>
      <c r="B484" s="98" t="s">
        <v>191</v>
      </c>
      <c r="C484" s="99" t="s">
        <v>192</v>
      </c>
      <c r="D484" s="100">
        <f>D487+D589</f>
        <v>1463474</v>
      </c>
      <c r="E484" s="100">
        <f t="shared" si="306"/>
        <v>1726811</v>
      </c>
      <c r="F484" s="100">
        <f t="shared" si="306"/>
        <v>263337</v>
      </c>
      <c r="G484" s="21">
        <f t="shared" si="302"/>
        <v>17.993965044818015</v>
      </c>
      <c r="H484" s="100">
        <f>H487+H589</f>
        <v>0</v>
      </c>
      <c r="I484" s="100">
        <f>I487+I589</f>
        <v>263337</v>
      </c>
    </row>
    <row r="485" spans="1:9" x14ac:dyDescent="0.2">
      <c r="A485" s="98" t="s">
        <v>29</v>
      </c>
      <c r="B485" s="98" t="s">
        <v>39</v>
      </c>
      <c r="C485" s="99" t="s">
        <v>197</v>
      </c>
      <c r="D485" s="100"/>
      <c r="E485" s="100"/>
      <c r="F485" s="100"/>
      <c r="G485" s="21" t="e">
        <f t="shared" si="302"/>
        <v>#DIV/0!</v>
      </c>
      <c r="H485" s="100"/>
      <c r="I485" s="100"/>
    </row>
    <row r="486" spans="1:9" x14ac:dyDescent="0.2">
      <c r="A486" s="98"/>
      <c r="B486" s="98" t="s">
        <v>189</v>
      </c>
      <c r="C486" s="99" t="s">
        <v>190</v>
      </c>
      <c r="D486" s="100">
        <f>D489+D570</f>
        <v>1468698</v>
      </c>
      <c r="E486" s="100">
        <f t="shared" ref="E486:F487" si="307">E489+E570</f>
        <v>1492198</v>
      </c>
      <c r="F486" s="100">
        <f t="shared" si="307"/>
        <v>23500</v>
      </c>
      <c r="G486" s="21">
        <f t="shared" si="302"/>
        <v>1.6000566488141199</v>
      </c>
      <c r="H486" s="100">
        <f>H489+H570</f>
        <v>0</v>
      </c>
      <c r="I486" s="100">
        <f>I489+I570</f>
        <v>23500</v>
      </c>
    </row>
    <row r="487" spans="1:9" x14ac:dyDescent="0.2">
      <c r="A487" s="98"/>
      <c r="B487" s="98" t="s">
        <v>191</v>
      </c>
      <c r="C487" s="99" t="s">
        <v>192</v>
      </c>
      <c r="D487" s="100">
        <f>D490+D571</f>
        <v>1461674</v>
      </c>
      <c r="E487" s="100">
        <f t="shared" si="307"/>
        <v>1587168</v>
      </c>
      <c r="F487" s="100">
        <f t="shared" si="307"/>
        <v>125494</v>
      </c>
      <c r="G487" s="21">
        <f t="shared" si="302"/>
        <v>8.5856353742352933</v>
      </c>
      <c r="H487" s="100">
        <f>H490+H571</f>
        <v>0</v>
      </c>
      <c r="I487" s="100">
        <f>I490+I571</f>
        <v>125494</v>
      </c>
    </row>
    <row r="488" spans="1:9" x14ac:dyDescent="0.2">
      <c r="A488" s="98" t="s">
        <v>29</v>
      </c>
      <c r="B488" s="98" t="s">
        <v>31</v>
      </c>
      <c r="C488" s="99" t="s">
        <v>32</v>
      </c>
      <c r="D488" s="100"/>
      <c r="E488" s="100"/>
      <c r="F488" s="100"/>
      <c r="G488" s="21" t="e">
        <f t="shared" si="302"/>
        <v>#DIV/0!</v>
      </c>
      <c r="H488" s="100"/>
      <c r="I488" s="100"/>
    </row>
    <row r="489" spans="1:9" x14ac:dyDescent="0.2">
      <c r="A489" s="98"/>
      <c r="B489" s="98" t="s">
        <v>189</v>
      </c>
      <c r="C489" s="99" t="s">
        <v>190</v>
      </c>
      <c r="D489" s="100">
        <f>D492+D528+D552+D564+D501</f>
        <v>1094997</v>
      </c>
      <c r="E489" s="100">
        <f t="shared" ref="E489:F489" si="308">E492+E528+E552+E564+E501</f>
        <v>1118497</v>
      </c>
      <c r="F489" s="100">
        <f t="shared" si="308"/>
        <v>23500</v>
      </c>
      <c r="G489" s="21">
        <f t="shared" si="302"/>
        <v>2.1461246012546153</v>
      </c>
      <c r="H489" s="100">
        <f>H492+H528+H552+H564+H501</f>
        <v>0</v>
      </c>
      <c r="I489" s="100">
        <f>I492+I528+I552+I564+I501</f>
        <v>23500</v>
      </c>
    </row>
    <row r="490" spans="1:9" x14ac:dyDescent="0.2">
      <c r="A490" s="98"/>
      <c r="B490" s="98" t="s">
        <v>191</v>
      </c>
      <c r="C490" s="99" t="s">
        <v>192</v>
      </c>
      <c r="D490" s="100">
        <f>D493+D529+D553+D565+D502</f>
        <v>1362404</v>
      </c>
      <c r="E490" s="100">
        <f t="shared" ref="E490:F490" si="309">E493+E529+E553+E565+E502</f>
        <v>1487898</v>
      </c>
      <c r="F490" s="100">
        <f t="shared" si="309"/>
        <v>125494</v>
      </c>
      <c r="G490" s="21">
        <f t="shared" si="302"/>
        <v>9.211217817915978</v>
      </c>
      <c r="H490" s="100">
        <f>H493+H529+H553+H565+H502</f>
        <v>0</v>
      </c>
      <c r="I490" s="100">
        <f>I493+I529+I553+I565+I502</f>
        <v>125494</v>
      </c>
    </row>
    <row r="491" spans="1:9" x14ac:dyDescent="0.2">
      <c r="A491" s="98" t="s">
        <v>29</v>
      </c>
      <c r="B491" s="98" t="s">
        <v>142</v>
      </c>
      <c r="C491" s="99" t="s">
        <v>193</v>
      </c>
      <c r="D491" s="100"/>
      <c r="E491" s="100"/>
      <c r="F491" s="100"/>
      <c r="G491" s="21" t="e">
        <f t="shared" si="302"/>
        <v>#DIV/0!</v>
      </c>
      <c r="H491" s="100"/>
      <c r="I491" s="100"/>
    </row>
    <row r="492" spans="1:9" x14ac:dyDescent="0.2">
      <c r="A492" s="98"/>
      <c r="B492" s="98" t="s">
        <v>189</v>
      </c>
      <c r="C492" s="99" t="s">
        <v>190</v>
      </c>
      <c r="D492" s="100">
        <f>D495</f>
        <v>1350</v>
      </c>
      <c r="E492" s="100">
        <f t="shared" ref="E492:F493" si="310">E495</f>
        <v>1350</v>
      </c>
      <c r="F492" s="100">
        <f t="shared" si="310"/>
        <v>0</v>
      </c>
      <c r="G492" s="21">
        <f t="shared" si="302"/>
        <v>0</v>
      </c>
      <c r="H492" s="100">
        <f>H495</f>
        <v>0</v>
      </c>
      <c r="I492" s="100">
        <f>I495</f>
        <v>0</v>
      </c>
    </row>
    <row r="493" spans="1:9" x14ac:dyDescent="0.2">
      <c r="A493" s="98"/>
      <c r="B493" s="98" t="s">
        <v>191</v>
      </c>
      <c r="C493" s="99" t="s">
        <v>192</v>
      </c>
      <c r="D493" s="100">
        <f t="shared" ref="D493" si="311">D496</f>
        <v>1350</v>
      </c>
      <c r="E493" s="100">
        <f t="shared" si="310"/>
        <v>1350</v>
      </c>
      <c r="F493" s="100">
        <f t="shared" si="310"/>
        <v>0</v>
      </c>
      <c r="G493" s="21">
        <f t="shared" si="302"/>
        <v>0</v>
      </c>
      <c r="H493" s="100">
        <f t="shared" ref="H493:I493" si="312">H496</f>
        <v>0</v>
      </c>
      <c r="I493" s="100">
        <f t="shared" si="312"/>
        <v>0</v>
      </c>
    </row>
    <row r="494" spans="1:9" x14ac:dyDescent="0.2">
      <c r="A494" s="98" t="s">
        <v>29</v>
      </c>
      <c r="B494" s="98" t="s">
        <v>104</v>
      </c>
      <c r="C494" s="99" t="s">
        <v>105</v>
      </c>
      <c r="D494" s="100"/>
      <c r="E494" s="100"/>
      <c r="F494" s="100"/>
      <c r="G494" s="21" t="e">
        <f t="shared" si="302"/>
        <v>#DIV/0!</v>
      </c>
      <c r="H494" s="100"/>
      <c r="I494" s="100"/>
    </row>
    <row r="495" spans="1:9" x14ac:dyDescent="0.2">
      <c r="A495" s="98"/>
      <c r="B495" s="98" t="s">
        <v>189</v>
      </c>
      <c r="C495" s="99" t="s">
        <v>190</v>
      </c>
      <c r="D495" s="100">
        <f>D498</f>
        <v>1350</v>
      </c>
      <c r="E495" s="100">
        <f t="shared" ref="E495:F496" si="313">E498</f>
        <v>1350</v>
      </c>
      <c r="F495" s="100">
        <f t="shared" si="313"/>
        <v>0</v>
      </c>
      <c r="G495" s="21">
        <f t="shared" si="302"/>
        <v>0</v>
      </c>
      <c r="H495" s="100">
        <f>H498</f>
        <v>0</v>
      </c>
      <c r="I495" s="100">
        <f>I498</f>
        <v>0</v>
      </c>
    </row>
    <row r="496" spans="1:9" x14ac:dyDescent="0.2">
      <c r="A496" s="98"/>
      <c r="B496" s="98" t="s">
        <v>191</v>
      </c>
      <c r="C496" s="99" t="s">
        <v>192</v>
      </c>
      <c r="D496" s="100">
        <f t="shared" ref="D496" si="314">D499</f>
        <v>1350</v>
      </c>
      <c r="E496" s="100">
        <f t="shared" si="313"/>
        <v>1350</v>
      </c>
      <c r="F496" s="100">
        <f t="shared" si="313"/>
        <v>0</v>
      </c>
      <c r="G496" s="21">
        <f t="shared" si="302"/>
        <v>0</v>
      </c>
      <c r="H496" s="100">
        <f t="shared" ref="H496:I496" si="315">H499</f>
        <v>0</v>
      </c>
      <c r="I496" s="100">
        <f t="shared" si="315"/>
        <v>0</v>
      </c>
    </row>
    <row r="497" spans="1:9" x14ac:dyDescent="0.2">
      <c r="A497" s="32" t="s">
        <v>29</v>
      </c>
      <c r="B497" s="32" t="s">
        <v>112</v>
      </c>
      <c r="C497" s="33" t="s">
        <v>181</v>
      </c>
      <c r="D497" s="35"/>
      <c r="E497" s="35"/>
      <c r="F497" s="35"/>
      <c r="G497" s="21" t="e">
        <f t="shared" si="302"/>
        <v>#DIV/0!</v>
      </c>
      <c r="H497" s="35"/>
      <c r="I497" s="35"/>
    </row>
    <row r="498" spans="1:9" x14ac:dyDescent="0.2">
      <c r="A498" s="32"/>
      <c r="B498" s="60" t="s">
        <v>189</v>
      </c>
      <c r="C498" s="97" t="s">
        <v>190</v>
      </c>
      <c r="D498" s="34">
        <v>1350</v>
      </c>
      <c r="E498" s="28">
        <f>'Buget 2024'!D498</f>
        <v>1350</v>
      </c>
      <c r="F498" s="29">
        <f t="shared" ref="F498:F499" si="316">E498-D498</f>
        <v>0</v>
      </c>
      <c r="G498" s="21">
        <f t="shared" si="302"/>
        <v>0</v>
      </c>
      <c r="H498" s="27"/>
      <c r="I498" s="27">
        <f t="shared" ref="I498:I499" si="317">F498-H498</f>
        <v>0</v>
      </c>
    </row>
    <row r="499" spans="1:9" x14ac:dyDescent="0.2">
      <c r="A499" s="32"/>
      <c r="B499" s="60" t="s">
        <v>191</v>
      </c>
      <c r="C499" s="97" t="s">
        <v>192</v>
      </c>
      <c r="D499" s="34">
        <v>1350</v>
      </c>
      <c r="E499" s="28">
        <f>'Buget 2024'!D499</f>
        <v>1350</v>
      </c>
      <c r="F499" s="29">
        <f t="shared" si="316"/>
        <v>0</v>
      </c>
      <c r="G499" s="21">
        <f t="shared" si="302"/>
        <v>0</v>
      </c>
      <c r="H499" s="27"/>
      <c r="I499" s="27">
        <f t="shared" si="317"/>
        <v>0</v>
      </c>
    </row>
    <row r="500" spans="1:9" ht="25.5" x14ac:dyDescent="0.2">
      <c r="A500" s="98" t="s">
        <v>29</v>
      </c>
      <c r="B500" s="98">
        <v>56</v>
      </c>
      <c r="C500" s="99" t="s">
        <v>374</v>
      </c>
      <c r="D500" s="100"/>
      <c r="E500" s="100"/>
      <c r="F500" s="100"/>
      <c r="G500" s="21" t="e">
        <f t="shared" si="302"/>
        <v>#DIV/0!</v>
      </c>
      <c r="H500" s="100"/>
      <c r="I500" s="100"/>
    </row>
    <row r="501" spans="1:9" x14ac:dyDescent="0.2">
      <c r="A501" s="98"/>
      <c r="B501" s="98" t="s">
        <v>189</v>
      </c>
      <c r="C501" s="99" t="s">
        <v>190</v>
      </c>
      <c r="D501" s="100">
        <f>D504+D516</f>
        <v>243133</v>
      </c>
      <c r="E501" s="100">
        <f t="shared" ref="E501:F501" si="318">E504+E516</f>
        <v>248207</v>
      </c>
      <c r="F501" s="100">
        <f t="shared" si="318"/>
        <v>5074</v>
      </c>
      <c r="G501" s="21">
        <f t="shared" si="302"/>
        <v>2.0869236179375075</v>
      </c>
      <c r="H501" s="100">
        <f>H504+H516</f>
        <v>0</v>
      </c>
      <c r="I501" s="100">
        <f>I504+I516</f>
        <v>5074</v>
      </c>
    </row>
    <row r="502" spans="1:9" x14ac:dyDescent="0.2">
      <c r="A502" s="98"/>
      <c r="B502" s="98" t="s">
        <v>191</v>
      </c>
      <c r="C502" s="99" t="s">
        <v>192</v>
      </c>
      <c r="D502" s="100">
        <f>D505+D517</f>
        <v>570345</v>
      </c>
      <c r="E502" s="100">
        <f t="shared" ref="E502:F502" si="319">E505+E517</f>
        <v>724583</v>
      </c>
      <c r="F502" s="100">
        <f t="shared" si="319"/>
        <v>154238</v>
      </c>
      <c r="G502" s="21">
        <f t="shared" si="302"/>
        <v>27.042930156308902</v>
      </c>
      <c r="H502" s="100">
        <f>H505+H517</f>
        <v>0</v>
      </c>
      <c r="I502" s="100">
        <f>I505+I517</f>
        <v>154238</v>
      </c>
    </row>
    <row r="503" spans="1:9" ht="25.5" x14ac:dyDescent="0.2">
      <c r="A503" s="98" t="s">
        <v>29</v>
      </c>
      <c r="B503" s="98" t="s">
        <v>332</v>
      </c>
      <c r="C503" s="99" t="s">
        <v>333</v>
      </c>
      <c r="D503" s="100"/>
      <c r="E503" s="100"/>
      <c r="F503" s="100"/>
      <c r="G503" s="21" t="e">
        <f t="shared" si="302"/>
        <v>#DIV/0!</v>
      </c>
      <c r="H503" s="100"/>
      <c r="I503" s="100"/>
    </row>
    <row r="504" spans="1:9" x14ac:dyDescent="0.2">
      <c r="A504" s="98"/>
      <c r="B504" s="98" t="s">
        <v>189</v>
      </c>
      <c r="C504" s="99" t="s">
        <v>190</v>
      </c>
      <c r="D504" s="100">
        <f>D507+D510+D513</f>
        <v>243133</v>
      </c>
      <c r="E504" s="100">
        <f t="shared" ref="E504:F504" si="320">E507+E510+E513</f>
        <v>248207</v>
      </c>
      <c r="F504" s="100">
        <f t="shared" si="320"/>
        <v>5074</v>
      </c>
      <c r="G504" s="21">
        <f t="shared" si="302"/>
        <v>2.0869236179375075</v>
      </c>
      <c r="H504" s="100">
        <f>H507+H510+H513</f>
        <v>0</v>
      </c>
      <c r="I504" s="100">
        <f>I507+I510+I513</f>
        <v>5074</v>
      </c>
    </row>
    <row r="505" spans="1:9" x14ac:dyDescent="0.2">
      <c r="A505" s="98"/>
      <c r="B505" s="98" t="s">
        <v>191</v>
      </c>
      <c r="C505" s="99" t="s">
        <v>192</v>
      </c>
      <c r="D505" s="100">
        <f>D508+D511+D514</f>
        <v>570345</v>
      </c>
      <c r="E505" s="100">
        <f t="shared" ref="E505:F505" si="321">E508+E511+E514</f>
        <v>724583</v>
      </c>
      <c r="F505" s="100">
        <f t="shared" si="321"/>
        <v>154238</v>
      </c>
      <c r="G505" s="21">
        <f t="shared" si="302"/>
        <v>27.042930156308902</v>
      </c>
      <c r="H505" s="100">
        <f>H508+H511+H514</f>
        <v>0</v>
      </c>
      <c r="I505" s="100">
        <f>I508+I511+I514</f>
        <v>154238</v>
      </c>
    </row>
    <row r="506" spans="1:9" x14ac:dyDescent="0.2">
      <c r="A506" s="60" t="s">
        <v>29</v>
      </c>
      <c r="B506" s="60" t="s">
        <v>334</v>
      </c>
      <c r="C506" s="97" t="s">
        <v>240</v>
      </c>
      <c r="D506" s="34"/>
      <c r="E506" s="34"/>
      <c r="F506" s="34"/>
      <c r="G506" s="21" t="e">
        <f t="shared" si="302"/>
        <v>#DIV/0!</v>
      </c>
      <c r="H506" s="34"/>
      <c r="I506" s="34"/>
    </row>
    <row r="507" spans="1:9" x14ac:dyDescent="0.2">
      <c r="A507" s="60"/>
      <c r="B507" s="60" t="s">
        <v>189</v>
      </c>
      <c r="C507" s="97" t="s">
        <v>190</v>
      </c>
      <c r="D507" s="34">
        <f>10412-4016+23852</f>
        <v>30248</v>
      </c>
      <c r="E507" s="28">
        <f>'Buget 2024'!D507</f>
        <v>29351</v>
      </c>
      <c r="F507" s="29">
        <f t="shared" ref="F507:F508" si="322">E507-D507</f>
        <v>-897</v>
      </c>
      <c r="G507" s="21">
        <f t="shared" si="302"/>
        <v>-2.9654853213435599</v>
      </c>
      <c r="H507" s="27"/>
      <c r="I507" s="27">
        <f t="shared" ref="I507:I508" si="323">F507-H507</f>
        <v>-897</v>
      </c>
    </row>
    <row r="508" spans="1:9" x14ac:dyDescent="0.2">
      <c r="A508" s="60"/>
      <c r="B508" s="60" t="s">
        <v>191</v>
      </c>
      <c r="C508" s="97" t="s">
        <v>192</v>
      </c>
      <c r="D508" s="34">
        <f>4985-4985+12965+4313</f>
        <v>17278</v>
      </c>
      <c r="E508" s="28">
        <f>'Buget 2024'!D508</f>
        <v>75510</v>
      </c>
      <c r="F508" s="29">
        <f t="shared" si="322"/>
        <v>58232</v>
      </c>
      <c r="G508" s="21">
        <f t="shared" si="302"/>
        <v>337.02974881352009</v>
      </c>
      <c r="H508" s="27"/>
      <c r="I508" s="27">
        <f t="shared" si="323"/>
        <v>58232</v>
      </c>
    </row>
    <row r="509" spans="1:9" x14ac:dyDescent="0.2">
      <c r="A509" s="44" t="s">
        <v>29</v>
      </c>
      <c r="B509" s="44" t="s">
        <v>335</v>
      </c>
      <c r="C509" s="45" t="s">
        <v>243</v>
      </c>
      <c r="D509" s="34"/>
      <c r="E509" s="34"/>
      <c r="F509" s="34"/>
      <c r="G509" s="21" t="e">
        <f t="shared" si="302"/>
        <v>#DIV/0!</v>
      </c>
      <c r="H509" s="34"/>
      <c r="I509" s="34"/>
    </row>
    <row r="510" spans="1:9" x14ac:dyDescent="0.2">
      <c r="A510" s="32"/>
      <c r="B510" s="60" t="s">
        <v>189</v>
      </c>
      <c r="C510" s="97" t="s">
        <v>190</v>
      </c>
      <c r="D510" s="34">
        <f>58996+135157</f>
        <v>194153</v>
      </c>
      <c r="E510" s="28">
        <f>'Buget 2024'!D510</f>
        <v>194153</v>
      </c>
      <c r="F510" s="29">
        <f t="shared" ref="F510:F511" si="324">E510-D510</f>
        <v>0</v>
      </c>
      <c r="G510" s="21">
        <f t="shared" si="302"/>
        <v>0</v>
      </c>
      <c r="H510" s="27"/>
      <c r="I510" s="27">
        <f t="shared" ref="I510:I511" si="325">F510-H510</f>
        <v>0</v>
      </c>
    </row>
    <row r="511" spans="1:9" x14ac:dyDescent="0.2">
      <c r="A511" s="32"/>
      <c r="B511" s="60" t="s">
        <v>191</v>
      </c>
      <c r="C511" s="97" t="s">
        <v>192</v>
      </c>
      <c r="D511" s="34">
        <f>28245-28245+73461+464013</f>
        <v>537474</v>
      </c>
      <c r="E511" s="28">
        <f>'Buget 2024'!D511</f>
        <v>565411</v>
      </c>
      <c r="F511" s="29">
        <f t="shared" si="324"/>
        <v>27937</v>
      </c>
      <c r="G511" s="21">
        <f t="shared" si="302"/>
        <v>5.1978328254017869</v>
      </c>
      <c r="H511" s="27"/>
      <c r="I511" s="27">
        <f t="shared" si="325"/>
        <v>27937</v>
      </c>
    </row>
    <row r="512" spans="1:9" x14ac:dyDescent="0.2">
      <c r="A512" s="32" t="s">
        <v>29</v>
      </c>
      <c r="B512" s="32" t="s">
        <v>336</v>
      </c>
      <c r="C512" s="33" t="s">
        <v>114</v>
      </c>
      <c r="D512" s="34"/>
      <c r="E512" s="34"/>
      <c r="F512" s="34"/>
      <c r="G512" s="21" t="e">
        <f t="shared" si="302"/>
        <v>#DIV/0!</v>
      </c>
      <c r="H512" s="34"/>
      <c r="I512" s="34"/>
    </row>
    <row r="513" spans="1:9" x14ac:dyDescent="0.2">
      <c r="A513" s="32"/>
      <c r="B513" s="60" t="s">
        <v>189</v>
      </c>
      <c r="C513" s="97" t="s">
        <v>190</v>
      </c>
      <c r="D513" s="34">
        <v>18732</v>
      </c>
      <c r="E513" s="28">
        <f>'Buget 2024'!D513</f>
        <v>24703</v>
      </c>
      <c r="F513" s="29">
        <f t="shared" ref="F513:F514" si="326">E513-D513</f>
        <v>5971</v>
      </c>
      <c r="G513" s="21">
        <f t="shared" si="302"/>
        <v>31.875934230194318</v>
      </c>
      <c r="H513" s="27"/>
      <c r="I513" s="27">
        <f t="shared" ref="I513:I514" si="327">F513-H513</f>
        <v>5971</v>
      </c>
    </row>
    <row r="514" spans="1:9" x14ac:dyDescent="0.2">
      <c r="A514" s="32"/>
      <c r="B514" s="60" t="s">
        <v>191</v>
      </c>
      <c r="C514" s="97" t="s">
        <v>192</v>
      </c>
      <c r="D514" s="34">
        <v>15593</v>
      </c>
      <c r="E514" s="28">
        <f>'Buget 2024'!D514</f>
        <v>83662</v>
      </c>
      <c r="F514" s="29">
        <f t="shared" si="326"/>
        <v>68069</v>
      </c>
      <c r="G514" s="21">
        <f t="shared" si="302"/>
        <v>436.53562495991787</v>
      </c>
      <c r="H514" s="27"/>
      <c r="I514" s="27">
        <f t="shared" si="327"/>
        <v>68069</v>
      </c>
    </row>
    <row r="515" spans="1:9" ht="25.5" hidden="1" x14ac:dyDescent="0.2">
      <c r="A515" s="98" t="s">
        <v>29</v>
      </c>
      <c r="B515" s="98" t="s">
        <v>375</v>
      </c>
      <c r="C515" s="99" t="s">
        <v>376</v>
      </c>
      <c r="D515" s="100"/>
      <c r="E515" s="100"/>
      <c r="F515" s="100"/>
      <c r="G515" s="21" t="e">
        <f t="shared" si="302"/>
        <v>#DIV/0!</v>
      </c>
      <c r="H515" s="100"/>
      <c r="I515" s="100"/>
    </row>
    <row r="516" spans="1:9" hidden="1" x14ac:dyDescent="0.2">
      <c r="A516" s="98"/>
      <c r="B516" s="98" t="s">
        <v>189</v>
      </c>
      <c r="C516" s="99" t="s">
        <v>190</v>
      </c>
      <c r="D516" s="100">
        <f>D519+D522+D525</f>
        <v>0</v>
      </c>
      <c r="E516" s="100">
        <f t="shared" ref="E516:F516" si="328">E519+E522+E525</f>
        <v>0</v>
      </c>
      <c r="F516" s="100">
        <f t="shared" si="328"/>
        <v>0</v>
      </c>
      <c r="G516" s="21" t="e">
        <f t="shared" si="302"/>
        <v>#DIV/0!</v>
      </c>
      <c r="H516" s="100">
        <f>H519+H522+H525</f>
        <v>0</v>
      </c>
      <c r="I516" s="100">
        <f>I519+I522+I525</f>
        <v>0</v>
      </c>
    </row>
    <row r="517" spans="1:9" hidden="1" x14ac:dyDescent="0.2">
      <c r="A517" s="98"/>
      <c r="B517" s="98" t="s">
        <v>191</v>
      </c>
      <c r="C517" s="99" t="s">
        <v>192</v>
      </c>
      <c r="D517" s="100">
        <f>D520+D523+D526</f>
        <v>0</v>
      </c>
      <c r="E517" s="100">
        <f t="shared" ref="E517:F517" si="329">E520+E523+E526</f>
        <v>0</v>
      </c>
      <c r="F517" s="100">
        <f t="shared" si="329"/>
        <v>0</v>
      </c>
      <c r="G517" s="21" t="e">
        <f t="shared" si="302"/>
        <v>#DIV/0!</v>
      </c>
      <c r="H517" s="100">
        <f>H520+H523+H526</f>
        <v>0</v>
      </c>
      <c r="I517" s="100">
        <f>I520+I523+I526</f>
        <v>0</v>
      </c>
    </row>
    <row r="518" spans="1:9" hidden="1" x14ac:dyDescent="0.2">
      <c r="A518" s="60" t="s">
        <v>29</v>
      </c>
      <c r="B518" s="60" t="s">
        <v>377</v>
      </c>
      <c r="C518" s="97" t="s">
        <v>240</v>
      </c>
      <c r="D518" s="34"/>
      <c r="E518" s="34"/>
      <c r="F518" s="34"/>
      <c r="G518" s="21" t="e">
        <f t="shared" si="302"/>
        <v>#DIV/0!</v>
      </c>
      <c r="H518" s="34"/>
      <c r="I518" s="34"/>
    </row>
    <row r="519" spans="1:9" hidden="1" x14ac:dyDescent="0.2">
      <c r="A519" s="60"/>
      <c r="B519" s="60" t="s">
        <v>189</v>
      </c>
      <c r="C519" s="97" t="s">
        <v>190</v>
      </c>
      <c r="D519" s="34">
        <f>23852-23852</f>
        <v>0</v>
      </c>
      <c r="E519" s="28">
        <f>'Buget 2024'!D519</f>
        <v>0</v>
      </c>
      <c r="F519" s="29">
        <f t="shared" ref="F519:F520" si="330">E519-D519</f>
        <v>0</v>
      </c>
      <c r="G519" s="21" t="e">
        <f t="shared" si="302"/>
        <v>#DIV/0!</v>
      </c>
      <c r="H519" s="34">
        <f>23852-23852</f>
        <v>0</v>
      </c>
      <c r="I519" s="34">
        <f>23852-23852</f>
        <v>0</v>
      </c>
    </row>
    <row r="520" spans="1:9" hidden="1" x14ac:dyDescent="0.2">
      <c r="A520" s="60"/>
      <c r="B520" s="60" t="s">
        <v>191</v>
      </c>
      <c r="C520" s="97" t="s">
        <v>192</v>
      </c>
      <c r="D520" s="34">
        <f>3104+9861-12965</f>
        <v>0</v>
      </c>
      <c r="E520" s="28">
        <f>'Buget 2024'!D520</f>
        <v>0</v>
      </c>
      <c r="F520" s="29">
        <f t="shared" si="330"/>
        <v>0</v>
      </c>
      <c r="G520" s="21" t="e">
        <f t="shared" si="302"/>
        <v>#DIV/0!</v>
      </c>
      <c r="H520" s="34">
        <f>3104+9861-12965</f>
        <v>0</v>
      </c>
      <c r="I520" s="34">
        <f>3104+9861-12965</f>
        <v>0</v>
      </c>
    </row>
    <row r="521" spans="1:9" hidden="1" x14ac:dyDescent="0.2">
      <c r="A521" s="32" t="s">
        <v>29</v>
      </c>
      <c r="B521" s="32" t="s">
        <v>378</v>
      </c>
      <c r="C521" s="33" t="s">
        <v>243</v>
      </c>
      <c r="D521" s="34"/>
      <c r="E521" s="28"/>
      <c r="F521" s="29"/>
      <c r="G521" s="21" t="e">
        <f t="shared" si="302"/>
        <v>#DIV/0!</v>
      </c>
      <c r="H521" s="34"/>
      <c r="I521" s="34"/>
    </row>
    <row r="522" spans="1:9" hidden="1" x14ac:dyDescent="0.2">
      <c r="A522" s="32"/>
      <c r="B522" s="60" t="s">
        <v>189</v>
      </c>
      <c r="C522" s="97" t="s">
        <v>190</v>
      </c>
      <c r="D522" s="34">
        <f>135157-135157</f>
        <v>0</v>
      </c>
      <c r="E522" s="28">
        <f>'Buget 2024'!D522</f>
        <v>0</v>
      </c>
      <c r="F522" s="29">
        <f t="shared" ref="F522:F523" si="331">E522-D522</f>
        <v>0</v>
      </c>
      <c r="G522" s="21" t="e">
        <f t="shared" si="302"/>
        <v>#DIV/0!</v>
      </c>
      <c r="H522" s="34">
        <f>135157-135157</f>
        <v>0</v>
      </c>
      <c r="I522" s="34">
        <f>135157-135157</f>
        <v>0</v>
      </c>
    </row>
    <row r="523" spans="1:9" hidden="1" x14ac:dyDescent="0.2">
      <c r="A523" s="32"/>
      <c r="B523" s="60" t="s">
        <v>191</v>
      </c>
      <c r="C523" s="97" t="s">
        <v>192</v>
      </c>
      <c r="D523" s="34">
        <f>13666+59795-73461</f>
        <v>0</v>
      </c>
      <c r="E523" s="28">
        <f>'Buget 2024'!D523</f>
        <v>0</v>
      </c>
      <c r="F523" s="29">
        <f t="shared" si="331"/>
        <v>0</v>
      </c>
      <c r="G523" s="21" t="e">
        <f t="shared" si="302"/>
        <v>#DIV/0!</v>
      </c>
      <c r="H523" s="34">
        <f>13666+59795-73461</f>
        <v>0</v>
      </c>
      <c r="I523" s="34">
        <f>13666+59795-73461</f>
        <v>0</v>
      </c>
    </row>
    <row r="524" spans="1:9" hidden="1" x14ac:dyDescent="0.2">
      <c r="A524" s="32" t="s">
        <v>29</v>
      </c>
      <c r="B524" s="32" t="s">
        <v>379</v>
      </c>
      <c r="C524" s="33" t="s">
        <v>114</v>
      </c>
      <c r="D524" s="34"/>
      <c r="E524" s="28"/>
      <c r="F524" s="29"/>
      <c r="G524" s="21" t="e">
        <f t="shared" si="302"/>
        <v>#DIV/0!</v>
      </c>
      <c r="H524" s="34"/>
      <c r="I524" s="34"/>
    </row>
    <row r="525" spans="1:9" hidden="1" x14ac:dyDescent="0.2">
      <c r="A525" s="32"/>
      <c r="B525" s="60" t="s">
        <v>189</v>
      </c>
      <c r="C525" s="97" t="s">
        <v>190</v>
      </c>
      <c r="D525" s="34">
        <f>18732-18732</f>
        <v>0</v>
      </c>
      <c r="E525" s="28">
        <f>'Buget 2024'!D525</f>
        <v>0</v>
      </c>
      <c r="F525" s="29">
        <f t="shared" ref="F525:F526" si="332">E525-D525</f>
        <v>0</v>
      </c>
      <c r="G525" s="21" t="e">
        <f t="shared" si="302"/>
        <v>#DIV/0!</v>
      </c>
      <c r="H525" s="34">
        <f>18732-18732</f>
        <v>0</v>
      </c>
      <c r="I525" s="34">
        <f>18732-18732</f>
        <v>0</v>
      </c>
    </row>
    <row r="526" spans="1:9" hidden="1" x14ac:dyDescent="0.2">
      <c r="A526" s="32"/>
      <c r="B526" s="60" t="s">
        <v>191</v>
      </c>
      <c r="C526" s="97" t="s">
        <v>192</v>
      </c>
      <c r="D526" s="34">
        <f>0+15593-15593</f>
        <v>0</v>
      </c>
      <c r="E526" s="28">
        <f>'Buget 2024'!D526</f>
        <v>0</v>
      </c>
      <c r="F526" s="29">
        <f t="shared" si="332"/>
        <v>0</v>
      </c>
      <c r="G526" s="21" t="e">
        <f t="shared" si="302"/>
        <v>#DIV/0!</v>
      </c>
      <c r="H526" s="34">
        <f>0+15593-15593</f>
        <v>0</v>
      </c>
      <c r="I526" s="34">
        <f>0+15593-15593</f>
        <v>0</v>
      </c>
    </row>
    <row r="527" spans="1:9" ht="38.25" x14ac:dyDescent="0.2">
      <c r="A527" s="98" t="s">
        <v>29</v>
      </c>
      <c r="B527" s="98" t="s">
        <v>34</v>
      </c>
      <c r="C527" s="99" t="s">
        <v>247</v>
      </c>
      <c r="D527" s="100"/>
      <c r="E527" s="100"/>
      <c r="F527" s="100"/>
      <c r="G527" s="21" t="e">
        <f t="shared" si="302"/>
        <v>#DIV/0!</v>
      </c>
      <c r="H527" s="100"/>
      <c r="I527" s="100"/>
    </row>
    <row r="528" spans="1:9" x14ac:dyDescent="0.2">
      <c r="A528" s="98"/>
      <c r="B528" s="98" t="s">
        <v>189</v>
      </c>
      <c r="C528" s="99" t="s">
        <v>190</v>
      </c>
      <c r="D528" s="100">
        <f>D531+D540</f>
        <v>142764</v>
      </c>
      <c r="E528" s="100">
        <f t="shared" ref="E528:F529" si="333">E531+E540</f>
        <v>146190</v>
      </c>
      <c r="F528" s="100">
        <f t="shared" si="333"/>
        <v>3426</v>
      </c>
      <c r="G528" s="21">
        <f t="shared" si="302"/>
        <v>2.3997646465495506</v>
      </c>
      <c r="H528" s="100">
        <f>H531+H540</f>
        <v>0</v>
      </c>
      <c r="I528" s="100">
        <f>I531+I540</f>
        <v>3426</v>
      </c>
    </row>
    <row r="529" spans="1:9" x14ac:dyDescent="0.2">
      <c r="A529" s="98"/>
      <c r="B529" s="98" t="s">
        <v>191</v>
      </c>
      <c r="C529" s="99" t="s">
        <v>192</v>
      </c>
      <c r="D529" s="100">
        <f>D532+D541</f>
        <v>241851</v>
      </c>
      <c r="E529" s="100">
        <f t="shared" si="333"/>
        <v>203107</v>
      </c>
      <c r="F529" s="100">
        <f t="shared" si="333"/>
        <v>-38744</v>
      </c>
      <c r="G529" s="21">
        <f t="shared" si="302"/>
        <v>-16.019780774112988</v>
      </c>
      <c r="H529" s="100">
        <f>H532+H541</f>
        <v>0</v>
      </c>
      <c r="I529" s="100">
        <f>I532+I541</f>
        <v>-38744</v>
      </c>
    </row>
    <row r="530" spans="1:9" hidden="1" x14ac:dyDescent="0.2">
      <c r="A530" s="98" t="s">
        <v>29</v>
      </c>
      <c r="B530" s="98" t="s">
        <v>115</v>
      </c>
      <c r="C530" s="99" t="s">
        <v>242</v>
      </c>
      <c r="D530" s="100"/>
      <c r="E530" s="100"/>
      <c r="F530" s="100"/>
      <c r="G530" s="21" t="e">
        <f t="shared" si="302"/>
        <v>#DIV/0!</v>
      </c>
      <c r="H530" s="100"/>
      <c r="I530" s="100"/>
    </row>
    <row r="531" spans="1:9" hidden="1" x14ac:dyDescent="0.2">
      <c r="A531" s="98"/>
      <c r="B531" s="98" t="s">
        <v>189</v>
      </c>
      <c r="C531" s="99" t="s">
        <v>190</v>
      </c>
      <c r="D531" s="100">
        <f>D534+D537</f>
        <v>0</v>
      </c>
      <c r="E531" s="100">
        <f t="shared" ref="E531:F532" si="334">E534+E537</f>
        <v>0</v>
      </c>
      <c r="F531" s="100">
        <f t="shared" si="334"/>
        <v>0</v>
      </c>
      <c r="G531" s="21" t="e">
        <f t="shared" si="302"/>
        <v>#DIV/0!</v>
      </c>
      <c r="H531" s="100">
        <f>H534+H537</f>
        <v>0</v>
      </c>
      <c r="I531" s="100">
        <f>I534+I537</f>
        <v>0</v>
      </c>
    </row>
    <row r="532" spans="1:9" hidden="1" x14ac:dyDescent="0.2">
      <c r="A532" s="98"/>
      <c r="B532" s="98" t="s">
        <v>191</v>
      </c>
      <c r="C532" s="99" t="s">
        <v>192</v>
      </c>
      <c r="D532" s="100">
        <f>D535+D538</f>
        <v>0</v>
      </c>
      <c r="E532" s="100">
        <f t="shared" si="334"/>
        <v>0</v>
      </c>
      <c r="F532" s="100">
        <f t="shared" si="334"/>
        <v>0</v>
      </c>
      <c r="G532" s="21" t="e">
        <f t="shared" si="302"/>
        <v>#DIV/0!</v>
      </c>
      <c r="H532" s="100">
        <f>H535+H538</f>
        <v>0</v>
      </c>
      <c r="I532" s="100">
        <f>I535+I538</f>
        <v>0</v>
      </c>
    </row>
    <row r="533" spans="1:9" hidden="1" x14ac:dyDescent="0.2">
      <c r="A533" s="84" t="s">
        <v>29</v>
      </c>
      <c r="B533" s="84" t="s">
        <v>116</v>
      </c>
      <c r="C533" s="33" t="s">
        <v>240</v>
      </c>
      <c r="D533" s="35"/>
      <c r="E533" s="28"/>
      <c r="F533" s="28"/>
      <c r="G533" s="21" t="e">
        <f t="shared" si="302"/>
        <v>#DIV/0!</v>
      </c>
      <c r="H533" s="35"/>
      <c r="I533" s="35"/>
    </row>
    <row r="534" spans="1:9" hidden="1" x14ac:dyDescent="0.2">
      <c r="A534" s="84"/>
      <c r="B534" s="60" t="s">
        <v>189</v>
      </c>
      <c r="C534" s="97" t="s">
        <v>190</v>
      </c>
      <c r="D534" s="34"/>
      <c r="E534" s="28">
        <f>'Buget 2024'!D534</f>
        <v>0</v>
      </c>
      <c r="F534" s="29">
        <f t="shared" ref="F534:F535" si="335">E534-D534</f>
        <v>0</v>
      </c>
      <c r="G534" s="21" t="e">
        <f t="shared" si="302"/>
        <v>#DIV/0!</v>
      </c>
      <c r="H534" s="34"/>
      <c r="I534" s="34"/>
    </row>
    <row r="535" spans="1:9" hidden="1" x14ac:dyDescent="0.2">
      <c r="A535" s="84"/>
      <c r="B535" s="60" t="s">
        <v>191</v>
      </c>
      <c r="C535" s="97" t="s">
        <v>192</v>
      </c>
      <c r="D535" s="28"/>
      <c r="E535" s="28">
        <f>'Buget 2024'!D535</f>
        <v>0</v>
      </c>
      <c r="F535" s="29">
        <f t="shared" si="335"/>
        <v>0</v>
      </c>
      <c r="G535" s="21" t="e">
        <f t="shared" si="302"/>
        <v>#DIV/0!</v>
      </c>
      <c r="H535" s="28"/>
      <c r="I535" s="28"/>
    </row>
    <row r="536" spans="1:9" hidden="1" x14ac:dyDescent="0.2">
      <c r="A536" s="58" t="s">
        <v>29</v>
      </c>
      <c r="B536" s="58" t="s">
        <v>117</v>
      </c>
      <c r="C536" s="89" t="s">
        <v>243</v>
      </c>
      <c r="D536" s="91"/>
      <c r="E536" s="28"/>
      <c r="F536" s="28"/>
      <c r="G536" s="21" t="e">
        <f t="shared" si="302"/>
        <v>#DIV/0!</v>
      </c>
      <c r="H536" s="91"/>
      <c r="I536" s="91"/>
    </row>
    <row r="537" spans="1:9" hidden="1" x14ac:dyDescent="0.2">
      <c r="A537" s="58"/>
      <c r="B537" s="60" t="s">
        <v>189</v>
      </c>
      <c r="C537" s="97" t="s">
        <v>190</v>
      </c>
      <c r="D537" s="34"/>
      <c r="E537" s="28">
        <f>'Buget 2024'!D537</f>
        <v>0</v>
      </c>
      <c r="F537" s="29">
        <f t="shared" ref="F537:F538" si="336">E537-D537</f>
        <v>0</v>
      </c>
      <c r="G537" s="21" t="e">
        <f t="shared" si="302"/>
        <v>#DIV/0!</v>
      </c>
      <c r="H537" s="34"/>
      <c r="I537" s="34"/>
    </row>
    <row r="538" spans="1:9" hidden="1" x14ac:dyDescent="0.2">
      <c r="A538" s="58"/>
      <c r="B538" s="60" t="s">
        <v>191</v>
      </c>
      <c r="C538" s="97" t="s">
        <v>192</v>
      </c>
      <c r="D538" s="28"/>
      <c r="E538" s="28">
        <f>'Buget 2024'!D538</f>
        <v>0</v>
      </c>
      <c r="F538" s="29">
        <f t="shared" si="336"/>
        <v>0</v>
      </c>
      <c r="G538" s="21" t="e">
        <f t="shared" si="302"/>
        <v>#DIV/0!</v>
      </c>
      <c r="H538" s="28"/>
      <c r="I538" s="28"/>
    </row>
    <row r="539" spans="1:9" x14ac:dyDescent="0.2">
      <c r="A539" s="98" t="s">
        <v>29</v>
      </c>
      <c r="B539" s="98" t="s">
        <v>143</v>
      </c>
      <c r="C539" s="99" t="s">
        <v>297</v>
      </c>
      <c r="D539" s="100"/>
      <c r="E539" s="100"/>
      <c r="F539" s="100"/>
      <c r="G539" s="21" t="e">
        <f t="shared" si="302"/>
        <v>#DIV/0!</v>
      </c>
      <c r="H539" s="100"/>
      <c r="I539" s="100"/>
    </row>
    <row r="540" spans="1:9" x14ac:dyDescent="0.2">
      <c r="A540" s="98"/>
      <c r="B540" s="98" t="s">
        <v>189</v>
      </c>
      <c r="C540" s="99" t="s">
        <v>190</v>
      </c>
      <c r="D540" s="100">
        <f t="shared" ref="D540:D541" si="337">D543+D546+D549</f>
        <v>142764</v>
      </c>
      <c r="E540" s="100">
        <f t="shared" ref="E540:F541" si="338">E543+E546+E549</f>
        <v>146190</v>
      </c>
      <c r="F540" s="100">
        <f t="shared" si="338"/>
        <v>3426</v>
      </c>
      <c r="G540" s="21">
        <f t="shared" ref="G540:G606" si="339">F540/D540*100</f>
        <v>2.3997646465495506</v>
      </c>
      <c r="H540" s="100">
        <f t="shared" ref="H540:I541" si="340">H543+H546+H549</f>
        <v>0</v>
      </c>
      <c r="I540" s="100">
        <f t="shared" si="340"/>
        <v>3426</v>
      </c>
    </row>
    <row r="541" spans="1:9" x14ac:dyDescent="0.2">
      <c r="A541" s="98"/>
      <c r="B541" s="98" t="s">
        <v>191</v>
      </c>
      <c r="C541" s="99" t="s">
        <v>192</v>
      </c>
      <c r="D541" s="100">
        <f t="shared" si="337"/>
        <v>241851</v>
      </c>
      <c r="E541" s="100">
        <f t="shared" si="338"/>
        <v>203107</v>
      </c>
      <c r="F541" s="100">
        <f t="shared" si="338"/>
        <v>-38744</v>
      </c>
      <c r="G541" s="21">
        <f t="shared" si="339"/>
        <v>-16.019780774112988</v>
      </c>
      <c r="H541" s="100">
        <f t="shared" si="340"/>
        <v>0</v>
      </c>
      <c r="I541" s="100">
        <f t="shared" si="340"/>
        <v>-38744</v>
      </c>
    </row>
    <row r="542" spans="1:9" hidden="1" x14ac:dyDescent="0.2">
      <c r="A542" s="84" t="s">
        <v>29</v>
      </c>
      <c r="B542" s="84" t="s">
        <v>144</v>
      </c>
      <c r="C542" s="33" t="s">
        <v>240</v>
      </c>
      <c r="D542" s="35"/>
      <c r="E542" s="35"/>
      <c r="F542" s="35"/>
      <c r="G542" s="21" t="e">
        <f t="shared" si="339"/>
        <v>#DIV/0!</v>
      </c>
      <c r="H542" s="35"/>
      <c r="I542" s="35"/>
    </row>
    <row r="543" spans="1:9" hidden="1" x14ac:dyDescent="0.2">
      <c r="A543" s="84"/>
      <c r="B543" s="60" t="s">
        <v>189</v>
      </c>
      <c r="C543" s="97" t="s">
        <v>190</v>
      </c>
      <c r="D543" s="34"/>
      <c r="E543" s="28">
        <f>'Buget 2024'!D543</f>
        <v>0</v>
      </c>
      <c r="F543" s="29">
        <f t="shared" ref="F543:F544" si="341">E543-D543</f>
        <v>0</v>
      </c>
      <c r="G543" s="21" t="e">
        <f t="shared" si="339"/>
        <v>#DIV/0!</v>
      </c>
      <c r="H543" s="34"/>
      <c r="I543" s="34"/>
    </row>
    <row r="544" spans="1:9" hidden="1" x14ac:dyDescent="0.2">
      <c r="A544" s="84"/>
      <c r="B544" s="60" t="s">
        <v>191</v>
      </c>
      <c r="C544" s="97" t="s">
        <v>192</v>
      </c>
      <c r="D544" s="28"/>
      <c r="E544" s="28">
        <f>'Buget 2024'!D544</f>
        <v>0</v>
      </c>
      <c r="F544" s="29">
        <f t="shared" si="341"/>
        <v>0</v>
      </c>
      <c r="G544" s="21" t="e">
        <f t="shared" si="339"/>
        <v>#DIV/0!</v>
      </c>
      <c r="H544" s="28"/>
      <c r="I544" s="28"/>
    </row>
    <row r="545" spans="1:9" hidden="1" x14ac:dyDescent="0.2">
      <c r="A545" s="58" t="s">
        <v>29</v>
      </c>
      <c r="B545" s="58" t="s">
        <v>145</v>
      </c>
      <c r="C545" s="89" t="s">
        <v>243</v>
      </c>
      <c r="D545" s="91"/>
      <c r="E545" s="91"/>
      <c r="F545" s="91"/>
      <c r="G545" s="21" t="e">
        <f t="shared" si="339"/>
        <v>#DIV/0!</v>
      </c>
      <c r="H545" s="91"/>
      <c r="I545" s="91"/>
    </row>
    <row r="546" spans="1:9" hidden="1" x14ac:dyDescent="0.2">
      <c r="A546" s="58"/>
      <c r="B546" s="60" t="s">
        <v>189</v>
      </c>
      <c r="C546" s="97" t="s">
        <v>190</v>
      </c>
      <c r="D546" s="34"/>
      <c r="E546" s="28">
        <f>'Buget 2024'!D546</f>
        <v>0</v>
      </c>
      <c r="F546" s="29">
        <f t="shared" ref="F546:F547" si="342">E546-D546</f>
        <v>0</v>
      </c>
      <c r="G546" s="21" t="e">
        <f t="shared" si="339"/>
        <v>#DIV/0!</v>
      </c>
      <c r="H546" s="34"/>
      <c r="I546" s="34"/>
    </row>
    <row r="547" spans="1:9" hidden="1" x14ac:dyDescent="0.2">
      <c r="A547" s="58"/>
      <c r="B547" s="60" t="s">
        <v>191</v>
      </c>
      <c r="C547" s="97" t="s">
        <v>192</v>
      </c>
      <c r="D547" s="28"/>
      <c r="E547" s="28">
        <f>'Buget 2024'!D547</f>
        <v>0</v>
      </c>
      <c r="F547" s="29">
        <f t="shared" si="342"/>
        <v>0</v>
      </c>
      <c r="G547" s="21" t="e">
        <f t="shared" si="339"/>
        <v>#DIV/0!</v>
      </c>
      <c r="H547" s="28"/>
      <c r="I547" s="28"/>
    </row>
    <row r="548" spans="1:9" x14ac:dyDescent="0.2">
      <c r="A548" s="58" t="s">
        <v>29</v>
      </c>
      <c r="B548" s="58" t="s">
        <v>251</v>
      </c>
      <c r="C548" s="69" t="s">
        <v>114</v>
      </c>
      <c r="D548" s="91"/>
      <c r="E548" s="91"/>
      <c r="F548" s="91"/>
      <c r="G548" s="21" t="e">
        <f t="shared" si="339"/>
        <v>#DIV/0!</v>
      </c>
      <c r="H548" s="91"/>
      <c r="I548" s="91"/>
    </row>
    <row r="549" spans="1:9" x14ac:dyDescent="0.2">
      <c r="A549" s="58"/>
      <c r="B549" s="60" t="s">
        <v>189</v>
      </c>
      <c r="C549" s="59" t="s">
        <v>190</v>
      </c>
      <c r="D549" s="34">
        <f>52724+90040</f>
        <v>142764</v>
      </c>
      <c r="E549" s="28">
        <f>'Buget 2024'!D549</f>
        <v>146190</v>
      </c>
      <c r="F549" s="29">
        <f t="shared" ref="F549:F550" si="343">E549-D549</f>
        <v>3426</v>
      </c>
      <c r="G549" s="21">
        <f t="shared" si="339"/>
        <v>2.3997646465495506</v>
      </c>
      <c r="H549" s="27"/>
      <c r="I549" s="27">
        <f t="shared" ref="I549:I550" si="344">F549-H549</f>
        <v>3426</v>
      </c>
    </row>
    <row r="550" spans="1:9" x14ac:dyDescent="0.2">
      <c r="A550" s="58"/>
      <c r="B550" s="60" t="s">
        <v>191</v>
      </c>
      <c r="C550" s="61" t="s">
        <v>192</v>
      </c>
      <c r="D550" s="34">
        <f>273900-16524-3600-11925</f>
        <v>241851</v>
      </c>
      <c r="E550" s="28">
        <f>'Buget 2024'!D550</f>
        <v>203107</v>
      </c>
      <c r="F550" s="29">
        <f t="shared" si="343"/>
        <v>-38744</v>
      </c>
      <c r="G550" s="21">
        <f t="shared" si="339"/>
        <v>-16.019780774112988</v>
      </c>
      <c r="H550" s="27"/>
      <c r="I550" s="27">
        <f t="shared" si="344"/>
        <v>-38744</v>
      </c>
    </row>
    <row r="551" spans="1:9" ht="25.5" x14ac:dyDescent="0.2">
      <c r="A551" s="98" t="s">
        <v>29</v>
      </c>
      <c r="B551" s="98">
        <v>61</v>
      </c>
      <c r="C551" s="99" t="s">
        <v>315</v>
      </c>
      <c r="D551" s="100"/>
      <c r="E551" s="100"/>
      <c r="F551" s="100"/>
      <c r="G551" s="21" t="e">
        <f t="shared" si="339"/>
        <v>#DIV/0!</v>
      </c>
      <c r="H551" s="100"/>
      <c r="I551" s="100"/>
    </row>
    <row r="552" spans="1:9" x14ac:dyDescent="0.2">
      <c r="A552" s="98"/>
      <c r="B552" s="98" t="s">
        <v>189</v>
      </c>
      <c r="C552" s="99" t="s">
        <v>190</v>
      </c>
      <c r="D552" s="100">
        <f>D555+D558+D561</f>
        <v>628500</v>
      </c>
      <c r="E552" s="100">
        <f t="shared" ref="E552:F553" si="345">E555+E558+E561</f>
        <v>628500</v>
      </c>
      <c r="F552" s="100">
        <f t="shared" si="345"/>
        <v>0</v>
      </c>
      <c r="G552" s="21">
        <f t="shared" si="339"/>
        <v>0</v>
      </c>
      <c r="H552" s="100">
        <f>H555+H558+H561</f>
        <v>0</v>
      </c>
      <c r="I552" s="100">
        <f>I555+I558+I561</f>
        <v>0</v>
      </c>
    </row>
    <row r="553" spans="1:9" x14ac:dyDescent="0.2">
      <c r="A553" s="98"/>
      <c r="B553" s="98" t="s">
        <v>191</v>
      </c>
      <c r="C553" s="99" t="s">
        <v>192</v>
      </c>
      <c r="D553" s="100">
        <f>D556+D559+D562</f>
        <v>473858</v>
      </c>
      <c r="E553" s="100">
        <f t="shared" si="345"/>
        <v>473858</v>
      </c>
      <c r="F553" s="100">
        <f t="shared" si="345"/>
        <v>0</v>
      </c>
      <c r="G553" s="21">
        <f t="shared" si="339"/>
        <v>0</v>
      </c>
      <c r="H553" s="100">
        <f>H556+H559+H562</f>
        <v>0</v>
      </c>
      <c r="I553" s="100">
        <f>I556+I559+I562</f>
        <v>0</v>
      </c>
    </row>
    <row r="554" spans="1:9" x14ac:dyDescent="0.2">
      <c r="A554" s="60" t="s">
        <v>29</v>
      </c>
      <c r="B554" s="101" t="s">
        <v>316</v>
      </c>
      <c r="C554" s="102" t="s">
        <v>311</v>
      </c>
      <c r="D554" s="103"/>
      <c r="E554" s="103"/>
      <c r="F554" s="103"/>
      <c r="G554" s="21" t="e">
        <f t="shared" si="339"/>
        <v>#DIV/0!</v>
      </c>
      <c r="H554" s="103"/>
      <c r="I554" s="103"/>
    </row>
    <row r="555" spans="1:9" x14ac:dyDescent="0.2">
      <c r="A555" s="60"/>
      <c r="B555" s="60" t="s">
        <v>189</v>
      </c>
      <c r="C555" s="97" t="s">
        <v>190</v>
      </c>
      <c r="D555" s="103">
        <v>527867</v>
      </c>
      <c r="E555" s="28">
        <f>'Buget 2024'!D555</f>
        <v>527867</v>
      </c>
      <c r="F555" s="29">
        <f t="shared" ref="F555:F556" si="346">E555-D555</f>
        <v>0</v>
      </c>
      <c r="G555" s="21">
        <f t="shared" si="339"/>
        <v>0</v>
      </c>
      <c r="H555" s="27"/>
      <c r="I555" s="27">
        <f t="shared" ref="I555:I556" si="347">F555-H555</f>
        <v>0</v>
      </c>
    </row>
    <row r="556" spans="1:9" x14ac:dyDescent="0.2">
      <c r="A556" s="60"/>
      <c r="B556" s="60" t="s">
        <v>191</v>
      </c>
      <c r="C556" s="97" t="s">
        <v>192</v>
      </c>
      <c r="D556" s="103">
        <v>399368</v>
      </c>
      <c r="E556" s="28">
        <f>'Buget 2024'!D556</f>
        <v>399368</v>
      </c>
      <c r="F556" s="29">
        <f t="shared" si="346"/>
        <v>0</v>
      </c>
      <c r="G556" s="21">
        <f t="shared" si="339"/>
        <v>0</v>
      </c>
      <c r="H556" s="27"/>
      <c r="I556" s="27">
        <f t="shared" si="347"/>
        <v>0</v>
      </c>
    </row>
    <row r="557" spans="1:9" hidden="1" x14ac:dyDescent="0.2">
      <c r="A557" s="60" t="s">
        <v>29</v>
      </c>
      <c r="B557" s="101" t="s">
        <v>317</v>
      </c>
      <c r="C557" s="102" t="s">
        <v>312</v>
      </c>
      <c r="D557" s="103"/>
      <c r="E557" s="103"/>
      <c r="F557" s="103"/>
      <c r="G557" s="21" t="e">
        <f t="shared" si="339"/>
        <v>#DIV/0!</v>
      </c>
      <c r="H557" s="103"/>
      <c r="I557" s="103"/>
    </row>
    <row r="558" spans="1:9" hidden="1" x14ac:dyDescent="0.2">
      <c r="A558" s="60"/>
      <c r="B558" s="60" t="s">
        <v>189</v>
      </c>
      <c r="C558" s="97" t="s">
        <v>190</v>
      </c>
      <c r="D558" s="103">
        <v>0</v>
      </c>
      <c r="E558" s="28">
        <f t="shared" ref="E558:E559" si="348">D558+F558</f>
        <v>0</v>
      </c>
      <c r="F558" s="29"/>
      <c r="G558" s="21" t="e">
        <f t="shared" si="339"/>
        <v>#DIV/0!</v>
      </c>
      <c r="H558" s="103">
        <v>0</v>
      </c>
      <c r="I558" s="103">
        <v>0</v>
      </c>
    </row>
    <row r="559" spans="1:9" hidden="1" x14ac:dyDescent="0.2">
      <c r="A559" s="60"/>
      <c r="B559" s="60" t="s">
        <v>191</v>
      </c>
      <c r="C559" s="97" t="s">
        <v>192</v>
      </c>
      <c r="D559" s="103">
        <v>0</v>
      </c>
      <c r="E559" s="28">
        <f t="shared" si="348"/>
        <v>0</v>
      </c>
      <c r="F559" s="29"/>
      <c r="G559" s="21" t="e">
        <f t="shared" si="339"/>
        <v>#DIV/0!</v>
      </c>
      <c r="H559" s="103">
        <v>0</v>
      </c>
      <c r="I559" s="103">
        <v>0</v>
      </c>
    </row>
    <row r="560" spans="1:9" x14ac:dyDescent="0.2">
      <c r="A560" s="60" t="s">
        <v>29</v>
      </c>
      <c r="B560" s="101" t="s">
        <v>318</v>
      </c>
      <c r="C560" s="102" t="s">
        <v>313</v>
      </c>
      <c r="D560" s="103"/>
      <c r="E560" s="103"/>
      <c r="F560" s="103"/>
      <c r="G560" s="21" t="e">
        <f t="shared" si="339"/>
        <v>#DIV/0!</v>
      </c>
      <c r="H560" s="103"/>
      <c r="I560" s="103"/>
    </row>
    <row r="561" spans="1:9" x14ac:dyDescent="0.2">
      <c r="A561" s="60"/>
      <c r="B561" s="60" t="s">
        <v>189</v>
      </c>
      <c r="C561" s="97" t="s">
        <v>190</v>
      </c>
      <c r="D561" s="103">
        <v>100633</v>
      </c>
      <c r="E561" s="28">
        <f>'Buget 2024'!D561</f>
        <v>100633</v>
      </c>
      <c r="F561" s="29">
        <f t="shared" ref="F561:F562" si="349">E561-D561</f>
        <v>0</v>
      </c>
      <c r="G561" s="21">
        <f t="shared" si="339"/>
        <v>0</v>
      </c>
      <c r="H561" s="27"/>
      <c r="I561" s="27">
        <f t="shared" ref="I561:I562" si="350">F561-H561</f>
        <v>0</v>
      </c>
    </row>
    <row r="562" spans="1:9" x14ac:dyDescent="0.2">
      <c r="A562" s="60"/>
      <c r="B562" s="60" t="s">
        <v>191</v>
      </c>
      <c r="C562" s="97" t="s">
        <v>192</v>
      </c>
      <c r="D562" s="103">
        <f>74406+84</f>
        <v>74490</v>
      </c>
      <c r="E562" s="28">
        <f>'Buget 2024'!D562</f>
        <v>74490</v>
      </c>
      <c r="F562" s="29">
        <f t="shared" si="349"/>
        <v>0</v>
      </c>
      <c r="G562" s="21">
        <f t="shared" si="339"/>
        <v>0</v>
      </c>
      <c r="H562" s="27"/>
      <c r="I562" s="27">
        <f t="shared" si="350"/>
        <v>0</v>
      </c>
    </row>
    <row r="563" spans="1:9" ht="25.5" x14ac:dyDescent="0.2">
      <c r="A563" s="104" t="s">
        <v>29</v>
      </c>
      <c r="B563" s="104" t="s">
        <v>146</v>
      </c>
      <c r="C563" s="99" t="s">
        <v>196</v>
      </c>
      <c r="D563" s="100"/>
      <c r="E563" s="100"/>
      <c r="F563" s="100"/>
      <c r="G563" s="21" t="e">
        <f t="shared" si="339"/>
        <v>#DIV/0!</v>
      </c>
      <c r="H563" s="100"/>
      <c r="I563" s="100"/>
    </row>
    <row r="564" spans="1:9" x14ac:dyDescent="0.2">
      <c r="A564" s="104"/>
      <c r="B564" s="98" t="s">
        <v>189</v>
      </c>
      <c r="C564" s="99" t="s">
        <v>190</v>
      </c>
      <c r="D564" s="100">
        <f>D567</f>
        <v>79250</v>
      </c>
      <c r="E564" s="100">
        <f t="shared" ref="E564:F565" si="351">E567</f>
        <v>94250</v>
      </c>
      <c r="F564" s="100">
        <f t="shared" si="351"/>
        <v>15000</v>
      </c>
      <c r="G564" s="21">
        <f t="shared" si="339"/>
        <v>18.927444794952681</v>
      </c>
      <c r="H564" s="100">
        <f>H567</f>
        <v>0</v>
      </c>
      <c r="I564" s="100">
        <f>I567</f>
        <v>15000</v>
      </c>
    </row>
    <row r="565" spans="1:9" x14ac:dyDescent="0.2">
      <c r="A565" s="104"/>
      <c r="B565" s="98" t="s">
        <v>191</v>
      </c>
      <c r="C565" s="99" t="s">
        <v>192</v>
      </c>
      <c r="D565" s="100">
        <f t="shared" ref="D565" si="352">D568</f>
        <v>75000</v>
      </c>
      <c r="E565" s="100">
        <f t="shared" si="351"/>
        <v>85000</v>
      </c>
      <c r="F565" s="100">
        <f t="shared" si="351"/>
        <v>10000</v>
      </c>
      <c r="G565" s="21">
        <f t="shared" si="339"/>
        <v>13.333333333333334</v>
      </c>
      <c r="H565" s="100">
        <f t="shared" ref="H565:I565" si="353">H568</f>
        <v>0</v>
      </c>
      <c r="I565" s="100">
        <f t="shared" si="353"/>
        <v>10000</v>
      </c>
    </row>
    <row r="566" spans="1:9" ht="25.5" x14ac:dyDescent="0.2">
      <c r="A566" s="58" t="s">
        <v>29</v>
      </c>
      <c r="B566" s="58" t="s">
        <v>147</v>
      </c>
      <c r="C566" s="33" t="s">
        <v>250</v>
      </c>
      <c r="D566" s="35"/>
      <c r="E566" s="35"/>
      <c r="F566" s="35"/>
      <c r="G566" s="21" t="e">
        <f t="shared" si="339"/>
        <v>#DIV/0!</v>
      </c>
      <c r="H566" s="35"/>
      <c r="I566" s="35"/>
    </row>
    <row r="567" spans="1:9" x14ac:dyDescent="0.2">
      <c r="A567" s="58"/>
      <c r="B567" s="60" t="s">
        <v>189</v>
      </c>
      <c r="C567" s="97" t="s">
        <v>190</v>
      </c>
      <c r="D567" s="34">
        <f>44250+35000</f>
        <v>79250</v>
      </c>
      <c r="E567" s="28">
        <f>'Buget 2024'!D567</f>
        <v>94250</v>
      </c>
      <c r="F567" s="29">
        <f t="shared" ref="F567:F568" si="354">E567-D567</f>
        <v>15000</v>
      </c>
      <c r="G567" s="21">
        <f t="shared" si="339"/>
        <v>18.927444794952681</v>
      </c>
      <c r="H567" s="27"/>
      <c r="I567" s="27">
        <f t="shared" ref="I567:I568" si="355">F567-H567</f>
        <v>15000</v>
      </c>
    </row>
    <row r="568" spans="1:9" x14ac:dyDescent="0.2">
      <c r="A568" s="58"/>
      <c r="B568" s="60" t="s">
        <v>191</v>
      </c>
      <c r="C568" s="97" t="s">
        <v>192</v>
      </c>
      <c r="D568" s="34">
        <f>40000+35000</f>
        <v>75000</v>
      </c>
      <c r="E568" s="28">
        <f>'Buget 2024'!D568</f>
        <v>85000</v>
      </c>
      <c r="F568" s="29">
        <f t="shared" si="354"/>
        <v>10000</v>
      </c>
      <c r="G568" s="21">
        <f t="shared" si="339"/>
        <v>13.333333333333334</v>
      </c>
      <c r="H568" s="27"/>
      <c r="I568" s="27">
        <f t="shared" si="355"/>
        <v>10000</v>
      </c>
    </row>
    <row r="569" spans="1:9" x14ac:dyDescent="0.2">
      <c r="A569" s="98" t="s">
        <v>29</v>
      </c>
      <c r="B569" s="98" t="s">
        <v>127</v>
      </c>
      <c r="C569" s="99" t="s">
        <v>37</v>
      </c>
      <c r="D569" s="100"/>
      <c r="E569" s="100"/>
      <c r="F569" s="100"/>
      <c r="G569" s="21" t="e">
        <f t="shared" si="339"/>
        <v>#DIV/0!</v>
      </c>
      <c r="H569" s="100"/>
      <c r="I569" s="100"/>
    </row>
    <row r="570" spans="1:9" x14ac:dyDescent="0.2">
      <c r="A570" s="98"/>
      <c r="B570" s="98" t="s">
        <v>189</v>
      </c>
      <c r="C570" s="99" t="s">
        <v>190</v>
      </c>
      <c r="D570" s="100">
        <f t="shared" ref="D570:D571" si="356">D573</f>
        <v>373701</v>
      </c>
      <c r="E570" s="100">
        <f t="shared" ref="E570:F571" si="357">E573</f>
        <v>373701</v>
      </c>
      <c r="F570" s="100">
        <f t="shared" si="357"/>
        <v>0</v>
      </c>
      <c r="G570" s="21">
        <f t="shared" si="339"/>
        <v>0</v>
      </c>
      <c r="H570" s="100">
        <f t="shared" ref="H570:I571" si="358">H573</f>
        <v>0</v>
      </c>
      <c r="I570" s="100">
        <f t="shared" si="358"/>
        <v>0</v>
      </c>
    </row>
    <row r="571" spans="1:9" x14ac:dyDescent="0.2">
      <c r="A571" s="98"/>
      <c r="B571" s="98" t="s">
        <v>191</v>
      </c>
      <c r="C571" s="99" t="s">
        <v>192</v>
      </c>
      <c r="D571" s="100">
        <f t="shared" si="356"/>
        <v>99270</v>
      </c>
      <c r="E571" s="100">
        <f t="shared" si="357"/>
        <v>99270</v>
      </c>
      <c r="F571" s="100">
        <f t="shared" si="357"/>
        <v>0</v>
      </c>
      <c r="G571" s="21">
        <f t="shared" si="339"/>
        <v>0</v>
      </c>
      <c r="H571" s="100">
        <f t="shared" si="358"/>
        <v>0</v>
      </c>
      <c r="I571" s="100">
        <f t="shared" si="358"/>
        <v>0</v>
      </c>
    </row>
    <row r="572" spans="1:9" x14ac:dyDescent="0.2">
      <c r="A572" s="98" t="s">
        <v>29</v>
      </c>
      <c r="B572" s="98" t="s">
        <v>129</v>
      </c>
      <c r="C572" s="99" t="s">
        <v>130</v>
      </c>
      <c r="D572" s="100"/>
      <c r="E572" s="100"/>
      <c r="F572" s="100"/>
      <c r="G572" s="21" t="e">
        <f t="shared" si="339"/>
        <v>#DIV/0!</v>
      </c>
      <c r="H572" s="100"/>
      <c r="I572" s="100"/>
    </row>
    <row r="573" spans="1:9" x14ac:dyDescent="0.2">
      <c r="A573" s="98"/>
      <c r="B573" s="98" t="s">
        <v>189</v>
      </c>
      <c r="C573" s="99" t="s">
        <v>190</v>
      </c>
      <c r="D573" s="100">
        <f t="shared" ref="D573:D574" si="359">D576+D585</f>
        <v>373701</v>
      </c>
      <c r="E573" s="100">
        <f t="shared" ref="E573:F574" si="360">E576+E585</f>
        <v>373701</v>
      </c>
      <c r="F573" s="100">
        <f t="shared" si="360"/>
        <v>0</v>
      </c>
      <c r="G573" s="21">
        <f t="shared" si="339"/>
        <v>0</v>
      </c>
      <c r="H573" s="100">
        <f t="shared" ref="H573:I574" si="361">H576+H585</f>
        <v>0</v>
      </c>
      <c r="I573" s="100">
        <f t="shared" si="361"/>
        <v>0</v>
      </c>
    </row>
    <row r="574" spans="1:9" x14ac:dyDescent="0.2">
      <c r="A574" s="98"/>
      <c r="B574" s="98" t="s">
        <v>191</v>
      </c>
      <c r="C574" s="99" t="s">
        <v>192</v>
      </c>
      <c r="D574" s="100">
        <f t="shared" si="359"/>
        <v>99270</v>
      </c>
      <c r="E574" s="100">
        <f t="shared" si="360"/>
        <v>99270</v>
      </c>
      <c r="F574" s="100">
        <f t="shared" si="360"/>
        <v>0</v>
      </c>
      <c r="G574" s="21">
        <f t="shared" si="339"/>
        <v>0</v>
      </c>
      <c r="H574" s="100">
        <f t="shared" si="361"/>
        <v>0</v>
      </c>
      <c r="I574" s="100">
        <f t="shared" si="361"/>
        <v>0</v>
      </c>
    </row>
    <row r="575" spans="1:9" x14ac:dyDescent="0.2">
      <c r="A575" s="98" t="s">
        <v>29</v>
      </c>
      <c r="B575" s="98" t="s">
        <v>131</v>
      </c>
      <c r="C575" s="99" t="s">
        <v>132</v>
      </c>
      <c r="D575" s="100"/>
      <c r="E575" s="100"/>
      <c r="F575" s="100"/>
      <c r="G575" s="21" t="e">
        <f t="shared" si="339"/>
        <v>#DIV/0!</v>
      </c>
      <c r="H575" s="100"/>
      <c r="I575" s="100"/>
    </row>
    <row r="576" spans="1:9" x14ac:dyDescent="0.2">
      <c r="A576" s="98"/>
      <c r="B576" s="98" t="s">
        <v>189</v>
      </c>
      <c r="C576" s="99" t="s">
        <v>190</v>
      </c>
      <c r="D576" s="100">
        <f t="shared" ref="D576:D577" si="362">D579+D582</f>
        <v>370001</v>
      </c>
      <c r="E576" s="100">
        <f t="shared" ref="E576:F577" si="363">E579+E582</f>
        <v>370001</v>
      </c>
      <c r="F576" s="100">
        <f t="shared" si="363"/>
        <v>0</v>
      </c>
      <c r="G576" s="21">
        <f t="shared" si="339"/>
        <v>0</v>
      </c>
      <c r="H576" s="100">
        <f t="shared" ref="H576:I577" si="364">H579+H582</f>
        <v>0</v>
      </c>
      <c r="I576" s="100">
        <f t="shared" si="364"/>
        <v>0</v>
      </c>
    </row>
    <row r="577" spans="1:9" x14ac:dyDescent="0.2">
      <c r="A577" s="98"/>
      <c r="B577" s="98" t="s">
        <v>191</v>
      </c>
      <c r="C577" s="99" t="s">
        <v>192</v>
      </c>
      <c r="D577" s="100">
        <f t="shared" si="362"/>
        <v>96590</v>
      </c>
      <c r="E577" s="100">
        <f t="shared" si="363"/>
        <v>96590</v>
      </c>
      <c r="F577" s="100">
        <f t="shared" si="363"/>
        <v>0</v>
      </c>
      <c r="G577" s="21">
        <f t="shared" si="339"/>
        <v>0</v>
      </c>
      <c r="H577" s="100">
        <f t="shared" si="364"/>
        <v>0</v>
      </c>
      <c r="I577" s="100">
        <f t="shared" si="364"/>
        <v>0</v>
      </c>
    </row>
    <row r="578" spans="1:9" x14ac:dyDescent="0.2">
      <c r="A578" s="32" t="s">
        <v>29</v>
      </c>
      <c r="B578" s="32" t="s">
        <v>133</v>
      </c>
      <c r="C578" s="33" t="s">
        <v>134</v>
      </c>
      <c r="D578" s="35"/>
      <c r="E578" s="35"/>
      <c r="F578" s="35"/>
      <c r="G578" s="21" t="e">
        <f t="shared" si="339"/>
        <v>#DIV/0!</v>
      </c>
      <c r="H578" s="35"/>
      <c r="I578" s="35"/>
    </row>
    <row r="579" spans="1:9" x14ac:dyDescent="0.2">
      <c r="A579" s="32"/>
      <c r="B579" s="60" t="s">
        <v>189</v>
      </c>
      <c r="C579" s="97" t="s">
        <v>190</v>
      </c>
      <c r="D579" s="34">
        <v>370001</v>
      </c>
      <c r="E579" s="28">
        <f>'Buget 2024'!D579</f>
        <v>370001</v>
      </c>
      <c r="F579" s="29">
        <f t="shared" ref="F579:F580" si="365">E579-D579</f>
        <v>0</v>
      </c>
      <c r="G579" s="21">
        <f t="shared" si="339"/>
        <v>0</v>
      </c>
      <c r="H579" s="27"/>
      <c r="I579" s="27">
        <f t="shared" ref="I579:I580" si="366">F579-H579</f>
        <v>0</v>
      </c>
    </row>
    <row r="580" spans="1:9" x14ac:dyDescent="0.2">
      <c r="A580" s="32"/>
      <c r="B580" s="60" t="s">
        <v>191</v>
      </c>
      <c r="C580" s="97" t="s">
        <v>192</v>
      </c>
      <c r="D580" s="28">
        <f>98170-1580</f>
        <v>96590</v>
      </c>
      <c r="E580" s="28">
        <f>'Buget 2024'!D580</f>
        <v>96590</v>
      </c>
      <c r="F580" s="29">
        <f t="shared" si="365"/>
        <v>0</v>
      </c>
      <c r="G580" s="21">
        <f t="shared" si="339"/>
        <v>0</v>
      </c>
      <c r="H580" s="27"/>
      <c r="I580" s="27">
        <f t="shared" si="366"/>
        <v>0</v>
      </c>
    </row>
    <row r="581" spans="1:9" hidden="1" x14ac:dyDescent="0.2">
      <c r="A581" s="32" t="s">
        <v>29</v>
      </c>
      <c r="B581" s="32" t="s">
        <v>139</v>
      </c>
      <c r="C581" s="33" t="s">
        <v>14</v>
      </c>
      <c r="D581" s="34"/>
      <c r="E581" s="34"/>
      <c r="F581" s="34"/>
      <c r="G581" s="21" t="e">
        <f t="shared" si="339"/>
        <v>#DIV/0!</v>
      </c>
      <c r="H581" s="34"/>
      <c r="I581" s="34"/>
    </row>
    <row r="582" spans="1:9" hidden="1" x14ac:dyDescent="0.2">
      <c r="A582" s="32"/>
      <c r="B582" s="60" t="s">
        <v>189</v>
      </c>
      <c r="C582" s="97" t="s">
        <v>190</v>
      </c>
      <c r="D582" s="28">
        <v>0</v>
      </c>
      <c r="E582" s="28">
        <f t="shared" ref="E582:E583" si="367">D582+F582</f>
        <v>0</v>
      </c>
      <c r="F582" s="29"/>
      <c r="G582" s="21" t="e">
        <f t="shared" si="339"/>
        <v>#DIV/0!</v>
      </c>
      <c r="H582" s="28">
        <v>0</v>
      </c>
      <c r="I582" s="28">
        <v>0</v>
      </c>
    </row>
    <row r="583" spans="1:9" hidden="1" x14ac:dyDescent="0.2">
      <c r="A583" s="32"/>
      <c r="B583" s="60" t="s">
        <v>191</v>
      </c>
      <c r="C583" s="97" t="s">
        <v>192</v>
      </c>
      <c r="D583" s="28">
        <v>0</v>
      </c>
      <c r="E583" s="28">
        <f t="shared" si="367"/>
        <v>0</v>
      </c>
      <c r="F583" s="29"/>
      <c r="G583" s="21" t="e">
        <f t="shared" si="339"/>
        <v>#DIV/0!</v>
      </c>
      <c r="H583" s="28">
        <v>0</v>
      </c>
      <c r="I583" s="28">
        <v>0</v>
      </c>
    </row>
    <row r="584" spans="1:9" x14ac:dyDescent="0.2">
      <c r="A584" s="32" t="s">
        <v>29</v>
      </c>
      <c r="B584" s="32" t="s">
        <v>140</v>
      </c>
      <c r="C584" s="33" t="s">
        <v>322</v>
      </c>
      <c r="D584" s="28"/>
      <c r="E584" s="28"/>
      <c r="F584" s="28"/>
      <c r="G584" s="21" t="e">
        <f t="shared" si="339"/>
        <v>#DIV/0!</v>
      </c>
      <c r="H584" s="28"/>
      <c r="I584" s="28"/>
    </row>
    <row r="585" spans="1:9" x14ac:dyDescent="0.2">
      <c r="A585" s="32"/>
      <c r="B585" s="60" t="s">
        <v>189</v>
      </c>
      <c r="C585" s="97" t="s">
        <v>190</v>
      </c>
      <c r="D585" s="28">
        <v>3700</v>
      </c>
      <c r="E585" s="28">
        <f>'Buget 2024'!D585</f>
        <v>3700</v>
      </c>
      <c r="F585" s="29">
        <f t="shared" ref="F585:F586" si="368">E585-D585</f>
        <v>0</v>
      </c>
      <c r="G585" s="21">
        <f t="shared" si="339"/>
        <v>0</v>
      </c>
      <c r="H585" s="27"/>
      <c r="I585" s="27">
        <f t="shared" ref="I585:I586" si="369">F585-H585</f>
        <v>0</v>
      </c>
    </row>
    <row r="586" spans="1:9" x14ac:dyDescent="0.2">
      <c r="A586" s="32"/>
      <c r="B586" s="60" t="s">
        <v>191</v>
      </c>
      <c r="C586" s="97" t="s">
        <v>192</v>
      </c>
      <c r="D586" s="28">
        <f>1100+1580</f>
        <v>2680</v>
      </c>
      <c r="E586" s="28">
        <f>'Buget 2024'!D586</f>
        <v>2680</v>
      </c>
      <c r="F586" s="29">
        <f t="shared" si="368"/>
        <v>0</v>
      </c>
      <c r="G586" s="21">
        <f t="shared" si="339"/>
        <v>0</v>
      </c>
      <c r="H586" s="27"/>
      <c r="I586" s="27">
        <f t="shared" si="369"/>
        <v>0</v>
      </c>
    </row>
    <row r="587" spans="1:9" x14ac:dyDescent="0.2">
      <c r="A587" s="98" t="s">
        <v>148</v>
      </c>
      <c r="B587" s="98" t="s">
        <v>149</v>
      </c>
      <c r="C587" s="99" t="s">
        <v>248</v>
      </c>
      <c r="D587" s="100"/>
      <c r="E587" s="100"/>
      <c r="F587" s="100"/>
      <c r="G587" s="21" t="e">
        <f t="shared" si="339"/>
        <v>#DIV/0!</v>
      </c>
      <c r="H587" s="100"/>
      <c r="I587" s="100"/>
    </row>
    <row r="588" spans="1:9" x14ac:dyDescent="0.2">
      <c r="A588" s="98"/>
      <c r="B588" s="98" t="s">
        <v>189</v>
      </c>
      <c r="C588" s="99" t="s">
        <v>190</v>
      </c>
      <c r="D588" s="100">
        <f t="shared" ref="D588:F589" si="370">D591+D603</f>
        <v>1800</v>
      </c>
      <c r="E588" s="100">
        <f t="shared" si="370"/>
        <v>139643</v>
      </c>
      <c r="F588" s="100">
        <f t="shared" si="370"/>
        <v>137843</v>
      </c>
      <c r="G588" s="21">
        <f t="shared" si="339"/>
        <v>7657.9444444444453</v>
      </c>
      <c r="H588" s="100">
        <f>H591+H603</f>
        <v>0</v>
      </c>
      <c r="I588" s="100">
        <f>I591+I603</f>
        <v>137843</v>
      </c>
    </row>
    <row r="589" spans="1:9" x14ac:dyDescent="0.2">
      <c r="A589" s="98"/>
      <c r="B589" s="98" t="s">
        <v>191</v>
      </c>
      <c r="C589" s="99" t="s">
        <v>192</v>
      </c>
      <c r="D589" s="100">
        <f t="shared" si="370"/>
        <v>1800</v>
      </c>
      <c r="E589" s="100">
        <f t="shared" si="370"/>
        <v>139643</v>
      </c>
      <c r="F589" s="100">
        <f t="shared" si="370"/>
        <v>137843</v>
      </c>
      <c r="G589" s="21">
        <f t="shared" si="339"/>
        <v>7657.9444444444453</v>
      </c>
      <c r="H589" s="100">
        <f>H592+H604</f>
        <v>0</v>
      </c>
      <c r="I589" s="100">
        <f>I592+I604</f>
        <v>137843</v>
      </c>
    </row>
    <row r="590" spans="1:9" x14ac:dyDescent="0.2">
      <c r="A590" s="98" t="s">
        <v>148</v>
      </c>
      <c r="B590" s="98" t="s">
        <v>31</v>
      </c>
      <c r="C590" s="99" t="s">
        <v>32</v>
      </c>
      <c r="D590" s="100"/>
      <c r="E590" s="100"/>
      <c r="F590" s="100"/>
      <c r="G590" s="21" t="e">
        <f t="shared" si="339"/>
        <v>#DIV/0!</v>
      </c>
      <c r="H590" s="100"/>
      <c r="I590" s="100"/>
    </row>
    <row r="591" spans="1:9" x14ac:dyDescent="0.2">
      <c r="A591" s="98"/>
      <c r="B591" s="98" t="s">
        <v>189</v>
      </c>
      <c r="C591" s="99" t="s">
        <v>190</v>
      </c>
      <c r="D591" s="100">
        <f t="shared" ref="D591:D592" si="371">D594</f>
        <v>900</v>
      </c>
      <c r="E591" s="100">
        <f t="shared" ref="E591:F592" si="372">E594</f>
        <v>138743</v>
      </c>
      <c r="F591" s="100">
        <f t="shared" si="372"/>
        <v>137843</v>
      </c>
      <c r="G591" s="21">
        <f t="shared" si="339"/>
        <v>15315.888888888891</v>
      </c>
      <c r="H591" s="100">
        <f t="shared" ref="H591:I592" si="373">H594</f>
        <v>0</v>
      </c>
      <c r="I591" s="100">
        <f t="shared" si="373"/>
        <v>137843</v>
      </c>
    </row>
    <row r="592" spans="1:9" x14ac:dyDescent="0.2">
      <c r="A592" s="98"/>
      <c r="B592" s="98" t="s">
        <v>191</v>
      </c>
      <c r="C592" s="99" t="s">
        <v>192</v>
      </c>
      <c r="D592" s="100">
        <f t="shared" si="371"/>
        <v>900</v>
      </c>
      <c r="E592" s="100">
        <f t="shared" si="372"/>
        <v>138743</v>
      </c>
      <c r="F592" s="100">
        <f t="shared" si="372"/>
        <v>137843</v>
      </c>
      <c r="G592" s="21">
        <f t="shared" si="339"/>
        <v>15315.888888888891</v>
      </c>
      <c r="H592" s="100">
        <f t="shared" si="373"/>
        <v>0</v>
      </c>
      <c r="I592" s="100">
        <f t="shared" si="373"/>
        <v>137843</v>
      </c>
    </row>
    <row r="593" spans="1:9" x14ac:dyDescent="0.2">
      <c r="A593" s="98" t="s">
        <v>148</v>
      </c>
      <c r="B593" s="98" t="s">
        <v>142</v>
      </c>
      <c r="C593" s="99" t="s">
        <v>193</v>
      </c>
      <c r="D593" s="100"/>
      <c r="E593" s="100"/>
      <c r="F593" s="100"/>
      <c r="G593" s="21" t="e">
        <f t="shared" si="339"/>
        <v>#DIV/0!</v>
      </c>
      <c r="H593" s="100"/>
      <c r="I593" s="100"/>
    </row>
    <row r="594" spans="1:9" x14ac:dyDescent="0.2">
      <c r="A594" s="98"/>
      <c r="B594" s="98" t="s">
        <v>189</v>
      </c>
      <c r="C594" s="99" t="s">
        <v>190</v>
      </c>
      <c r="D594" s="100">
        <f>D597+D600</f>
        <v>900</v>
      </c>
      <c r="E594" s="100">
        <f t="shared" ref="E594:F594" si="374">E597+E600</f>
        <v>138743</v>
      </c>
      <c r="F594" s="100">
        <f t="shared" si="374"/>
        <v>137843</v>
      </c>
      <c r="G594" s="21">
        <f t="shared" si="339"/>
        <v>15315.888888888891</v>
      </c>
      <c r="H594" s="100">
        <f t="shared" ref="H594:I594" si="375">H597+H600</f>
        <v>0</v>
      </c>
      <c r="I594" s="100">
        <f t="shared" si="375"/>
        <v>137843</v>
      </c>
    </row>
    <row r="595" spans="1:9" x14ac:dyDescent="0.2">
      <c r="A595" s="98"/>
      <c r="B595" s="98" t="s">
        <v>191</v>
      </c>
      <c r="C595" s="99" t="s">
        <v>192</v>
      </c>
      <c r="D595" s="100">
        <f>D598+D601</f>
        <v>900</v>
      </c>
      <c r="E595" s="100">
        <f t="shared" ref="E595:F595" si="376">E598+E601</f>
        <v>138743</v>
      </c>
      <c r="F595" s="100">
        <f t="shared" si="376"/>
        <v>137843</v>
      </c>
      <c r="G595" s="21">
        <f t="shared" si="339"/>
        <v>15315.888888888891</v>
      </c>
      <c r="H595" s="100">
        <f t="shared" ref="H595:I595" si="377">H598+H601</f>
        <v>0</v>
      </c>
      <c r="I595" s="100">
        <f t="shared" si="377"/>
        <v>137843</v>
      </c>
    </row>
    <row r="596" spans="1:9" x14ac:dyDescent="0.2">
      <c r="A596" s="32" t="s">
        <v>148</v>
      </c>
      <c r="B596" s="32" t="s">
        <v>99</v>
      </c>
      <c r="C596" s="45" t="s">
        <v>231</v>
      </c>
      <c r="D596" s="35"/>
      <c r="E596" s="35"/>
      <c r="F596" s="35"/>
      <c r="G596" s="21" t="e">
        <f t="shared" si="339"/>
        <v>#DIV/0!</v>
      </c>
      <c r="H596" s="35"/>
      <c r="I596" s="35"/>
    </row>
    <row r="597" spans="1:9" x14ac:dyDescent="0.2">
      <c r="A597" s="32"/>
      <c r="B597" s="60" t="s">
        <v>189</v>
      </c>
      <c r="C597" s="97" t="s">
        <v>190</v>
      </c>
      <c r="D597" s="34"/>
      <c r="E597" s="28">
        <f>'Buget 2024'!D597</f>
        <v>137843</v>
      </c>
      <c r="F597" s="29">
        <f t="shared" ref="F597:F598" si="378">E597-D597</f>
        <v>137843</v>
      </c>
      <c r="G597" s="21" t="e">
        <f t="shared" si="339"/>
        <v>#DIV/0!</v>
      </c>
      <c r="H597" s="27"/>
      <c r="I597" s="27">
        <f t="shared" ref="I597:I598" si="379">F597-H597</f>
        <v>137843</v>
      </c>
    </row>
    <row r="598" spans="1:9" x14ac:dyDescent="0.2">
      <c r="A598" s="32"/>
      <c r="B598" s="60" t="s">
        <v>191</v>
      </c>
      <c r="C598" s="97" t="s">
        <v>192</v>
      </c>
      <c r="D598" s="34"/>
      <c r="E598" s="28">
        <f>'Buget 2024'!D598</f>
        <v>137843</v>
      </c>
      <c r="F598" s="29">
        <f t="shared" si="378"/>
        <v>137843</v>
      </c>
      <c r="G598" s="21" t="e">
        <f t="shared" si="339"/>
        <v>#DIV/0!</v>
      </c>
      <c r="H598" s="27"/>
      <c r="I598" s="27">
        <f t="shared" si="379"/>
        <v>137843</v>
      </c>
    </row>
    <row r="599" spans="1:9" x14ac:dyDescent="0.2">
      <c r="A599" s="32" t="s">
        <v>148</v>
      </c>
      <c r="B599" s="32" t="s">
        <v>100</v>
      </c>
      <c r="C599" s="33" t="s">
        <v>249</v>
      </c>
      <c r="D599" s="35"/>
      <c r="E599" s="35"/>
      <c r="F599" s="35"/>
      <c r="G599" s="21" t="e">
        <f t="shared" si="339"/>
        <v>#DIV/0!</v>
      </c>
      <c r="H599" s="35"/>
      <c r="I599" s="35"/>
    </row>
    <row r="600" spans="1:9" x14ac:dyDescent="0.2">
      <c r="A600" s="32"/>
      <c r="B600" s="60" t="s">
        <v>189</v>
      </c>
      <c r="C600" s="97" t="s">
        <v>190</v>
      </c>
      <c r="D600" s="34">
        <v>900</v>
      </c>
      <c r="E600" s="28">
        <f>'Buget 2024'!D600</f>
        <v>900</v>
      </c>
      <c r="F600" s="29">
        <f t="shared" ref="F600:F601" si="380">E600-D600</f>
        <v>0</v>
      </c>
      <c r="G600" s="21">
        <f t="shared" si="339"/>
        <v>0</v>
      </c>
      <c r="H600" s="27"/>
      <c r="I600" s="27">
        <f t="shared" ref="I600:I601" si="381">F600-H600</f>
        <v>0</v>
      </c>
    </row>
    <row r="601" spans="1:9" x14ac:dyDescent="0.2">
      <c r="A601" s="32"/>
      <c r="B601" s="60" t="s">
        <v>191</v>
      </c>
      <c r="C601" s="97" t="s">
        <v>192</v>
      </c>
      <c r="D601" s="34">
        <v>900</v>
      </c>
      <c r="E601" s="28">
        <f>'Buget 2024'!D601</f>
        <v>900</v>
      </c>
      <c r="F601" s="29">
        <f t="shared" si="380"/>
        <v>0</v>
      </c>
      <c r="G601" s="21">
        <f t="shared" si="339"/>
        <v>0</v>
      </c>
      <c r="H601" s="27"/>
      <c r="I601" s="27">
        <f t="shared" si="381"/>
        <v>0</v>
      </c>
    </row>
    <row r="602" spans="1:9" x14ac:dyDescent="0.2">
      <c r="A602" s="98" t="s">
        <v>148</v>
      </c>
      <c r="B602" s="98" t="s">
        <v>127</v>
      </c>
      <c r="C602" s="99" t="s">
        <v>37</v>
      </c>
      <c r="D602" s="100"/>
      <c r="E602" s="100"/>
      <c r="F602" s="100"/>
      <c r="G602" s="21" t="e">
        <f t="shared" si="339"/>
        <v>#DIV/0!</v>
      </c>
      <c r="H602" s="100"/>
      <c r="I602" s="100"/>
    </row>
    <row r="603" spans="1:9" x14ac:dyDescent="0.2">
      <c r="A603" s="98"/>
      <c r="B603" s="98" t="s">
        <v>189</v>
      </c>
      <c r="C603" s="99" t="s">
        <v>190</v>
      </c>
      <c r="D603" s="100">
        <f t="shared" ref="D603:D604" si="382">D606</f>
        <v>900</v>
      </c>
      <c r="E603" s="100">
        <f t="shared" ref="E603:F604" si="383">E606</f>
        <v>900</v>
      </c>
      <c r="F603" s="100">
        <f t="shared" si="383"/>
        <v>0</v>
      </c>
      <c r="G603" s="21">
        <f t="shared" si="339"/>
        <v>0</v>
      </c>
      <c r="H603" s="100">
        <f t="shared" ref="H603:I604" si="384">H606</f>
        <v>0</v>
      </c>
      <c r="I603" s="100">
        <f t="shared" si="384"/>
        <v>0</v>
      </c>
    </row>
    <row r="604" spans="1:9" x14ac:dyDescent="0.2">
      <c r="A604" s="98"/>
      <c r="B604" s="98" t="s">
        <v>191</v>
      </c>
      <c r="C604" s="99" t="s">
        <v>192</v>
      </c>
      <c r="D604" s="100">
        <f t="shared" si="382"/>
        <v>900</v>
      </c>
      <c r="E604" s="100">
        <f t="shared" si="383"/>
        <v>900</v>
      </c>
      <c r="F604" s="100">
        <f t="shared" si="383"/>
        <v>0</v>
      </c>
      <c r="G604" s="21">
        <f t="shared" si="339"/>
        <v>0</v>
      </c>
      <c r="H604" s="100">
        <f t="shared" si="384"/>
        <v>0</v>
      </c>
      <c r="I604" s="100">
        <f t="shared" si="384"/>
        <v>0</v>
      </c>
    </row>
    <row r="605" spans="1:9" x14ac:dyDescent="0.2">
      <c r="A605" s="32" t="s">
        <v>148</v>
      </c>
      <c r="B605" s="32" t="s">
        <v>150</v>
      </c>
      <c r="C605" s="33" t="s">
        <v>136</v>
      </c>
      <c r="D605" s="35"/>
      <c r="E605" s="35"/>
      <c r="F605" s="35"/>
      <c r="G605" s="21" t="e">
        <f t="shared" si="339"/>
        <v>#DIV/0!</v>
      </c>
      <c r="H605" s="35"/>
      <c r="I605" s="35"/>
    </row>
    <row r="606" spans="1:9" x14ac:dyDescent="0.2">
      <c r="A606" s="32"/>
      <c r="B606" s="60" t="s">
        <v>189</v>
      </c>
      <c r="C606" s="97" t="s">
        <v>190</v>
      </c>
      <c r="D606" s="34">
        <v>900</v>
      </c>
      <c r="E606" s="28">
        <f>'Buget 2024'!D606</f>
        <v>900</v>
      </c>
      <c r="F606" s="29">
        <f t="shared" ref="F606:F607" si="385">E606-D606</f>
        <v>0</v>
      </c>
      <c r="G606" s="21">
        <f t="shared" si="339"/>
        <v>0</v>
      </c>
      <c r="H606" s="27"/>
      <c r="I606" s="27">
        <f t="shared" ref="I606:I607" si="386">F606-H606</f>
        <v>0</v>
      </c>
    </row>
    <row r="607" spans="1:9" x14ac:dyDescent="0.2">
      <c r="A607" s="32"/>
      <c r="B607" s="60" t="s">
        <v>191</v>
      </c>
      <c r="C607" s="97" t="s">
        <v>192</v>
      </c>
      <c r="D607" s="34">
        <v>900</v>
      </c>
      <c r="E607" s="28">
        <f>'Buget 2024'!D607</f>
        <v>900</v>
      </c>
      <c r="F607" s="29">
        <f t="shared" si="385"/>
        <v>0</v>
      </c>
      <c r="G607" s="21">
        <f t="shared" ref="G607:G635" si="387">F607/D607*100</f>
        <v>0</v>
      </c>
      <c r="H607" s="27"/>
      <c r="I607" s="27">
        <f t="shared" si="386"/>
        <v>0</v>
      </c>
    </row>
    <row r="608" spans="1:9" x14ac:dyDescent="0.2">
      <c r="A608" s="105" t="s">
        <v>29</v>
      </c>
      <c r="B608" s="105"/>
      <c r="C608" s="106" t="s">
        <v>151</v>
      </c>
      <c r="D608" s="107"/>
      <c r="E608" s="107"/>
      <c r="F608" s="107"/>
      <c r="G608" s="21" t="e">
        <f t="shared" si="387"/>
        <v>#DIV/0!</v>
      </c>
      <c r="H608" s="107"/>
      <c r="I608" s="107"/>
    </row>
    <row r="609" spans="1:9" x14ac:dyDescent="0.2">
      <c r="A609" s="105"/>
      <c r="B609" s="105" t="s">
        <v>189</v>
      </c>
      <c r="C609" s="106" t="s">
        <v>190</v>
      </c>
      <c r="D609" s="107">
        <f t="shared" ref="D609:D610" si="388">D612</f>
        <v>5497</v>
      </c>
      <c r="E609" s="107">
        <f t="shared" ref="E609:F610" si="389">E612</f>
        <v>5497</v>
      </c>
      <c r="F609" s="107">
        <f t="shared" si="389"/>
        <v>0</v>
      </c>
      <c r="G609" s="21">
        <f t="shared" si="387"/>
        <v>0</v>
      </c>
      <c r="H609" s="107">
        <f t="shared" ref="H609:I610" si="390">H612</f>
        <v>0</v>
      </c>
      <c r="I609" s="107">
        <f t="shared" si="390"/>
        <v>0</v>
      </c>
    </row>
    <row r="610" spans="1:9" x14ac:dyDescent="0.2">
      <c r="A610" s="105"/>
      <c r="B610" s="105" t="s">
        <v>191</v>
      </c>
      <c r="C610" s="106" t="s">
        <v>192</v>
      </c>
      <c r="D610" s="107">
        <f t="shared" si="388"/>
        <v>5497</v>
      </c>
      <c r="E610" s="107">
        <f t="shared" si="389"/>
        <v>5497</v>
      </c>
      <c r="F610" s="107">
        <f t="shared" si="389"/>
        <v>0</v>
      </c>
      <c r="G610" s="21">
        <f t="shared" si="387"/>
        <v>0</v>
      </c>
      <c r="H610" s="107">
        <f t="shared" si="390"/>
        <v>0</v>
      </c>
      <c r="I610" s="107">
        <f t="shared" si="390"/>
        <v>0</v>
      </c>
    </row>
    <row r="611" spans="1:9" x14ac:dyDescent="0.2">
      <c r="A611" s="105" t="s">
        <v>29</v>
      </c>
      <c r="B611" s="105" t="s">
        <v>39</v>
      </c>
      <c r="C611" s="106" t="s">
        <v>197</v>
      </c>
      <c r="D611" s="107"/>
      <c r="E611" s="107"/>
      <c r="F611" s="107"/>
      <c r="G611" s="21" t="e">
        <f t="shared" si="387"/>
        <v>#DIV/0!</v>
      </c>
      <c r="H611" s="107"/>
      <c r="I611" s="107"/>
    </row>
    <row r="612" spans="1:9" x14ac:dyDescent="0.2">
      <c r="A612" s="105"/>
      <c r="B612" s="105" t="s">
        <v>189</v>
      </c>
      <c r="C612" s="106" t="s">
        <v>190</v>
      </c>
      <c r="D612" s="107">
        <f t="shared" ref="D612:D613" si="391">D615</f>
        <v>5497</v>
      </c>
      <c r="E612" s="107">
        <f t="shared" ref="E612:F613" si="392">E615</f>
        <v>5497</v>
      </c>
      <c r="F612" s="107">
        <f t="shared" si="392"/>
        <v>0</v>
      </c>
      <c r="G612" s="21">
        <f t="shared" si="387"/>
        <v>0</v>
      </c>
      <c r="H612" s="107">
        <f t="shared" ref="H612:I613" si="393">H615</f>
        <v>0</v>
      </c>
      <c r="I612" s="107">
        <f t="shared" si="393"/>
        <v>0</v>
      </c>
    </row>
    <row r="613" spans="1:9" x14ac:dyDescent="0.2">
      <c r="A613" s="105"/>
      <c r="B613" s="105" t="s">
        <v>191</v>
      </c>
      <c r="C613" s="106" t="s">
        <v>192</v>
      </c>
      <c r="D613" s="107">
        <f t="shared" si="391"/>
        <v>5497</v>
      </c>
      <c r="E613" s="107">
        <f t="shared" si="392"/>
        <v>5497</v>
      </c>
      <c r="F613" s="107">
        <f t="shared" si="392"/>
        <v>0</v>
      </c>
      <c r="G613" s="21">
        <f t="shared" si="387"/>
        <v>0</v>
      </c>
      <c r="H613" s="107">
        <f t="shared" si="393"/>
        <v>0</v>
      </c>
      <c r="I613" s="107">
        <f t="shared" si="393"/>
        <v>0</v>
      </c>
    </row>
    <row r="614" spans="1:9" x14ac:dyDescent="0.2">
      <c r="A614" s="105" t="s">
        <v>29</v>
      </c>
      <c r="B614" s="105" t="s">
        <v>31</v>
      </c>
      <c r="C614" s="106" t="s">
        <v>32</v>
      </c>
      <c r="D614" s="107"/>
      <c r="E614" s="107"/>
      <c r="F614" s="107"/>
      <c r="G614" s="21" t="e">
        <f t="shared" si="387"/>
        <v>#DIV/0!</v>
      </c>
      <c r="H614" s="107"/>
      <c r="I614" s="107"/>
    </row>
    <row r="615" spans="1:9" x14ac:dyDescent="0.2">
      <c r="A615" s="105"/>
      <c r="B615" s="105" t="s">
        <v>189</v>
      </c>
      <c r="C615" s="106" t="s">
        <v>190</v>
      </c>
      <c r="D615" s="107">
        <f>D618+D627</f>
        <v>5497</v>
      </c>
      <c r="E615" s="107">
        <f t="shared" ref="E615:F616" si="394">E618+E627</f>
        <v>5497</v>
      </c>
      <c r="F615" s="107">
        <f t="shared" si="394"/>
        <v>0</v>
      </c>
      <c r="G615" s="21">
        <f t="shared" si="387"/>
        <v>0</v>
      </c>
      <c r="H615" s="107">
        <f>H618+H627</f>
        <v>0</v>
      </c>
      <c r="I615" s="107">
        <f>I618+I627</f>
        <v>0</v>
      </c>
    </row>
    <row r="616" spans="1:9" x14ac:dyDescent="0.2">
      <c r="A616" s="105"/>
      <c r="B616" s="105" t="s">
        <v>191</v>
      </c>
      <c r="C616" s="106" t="s">
        <v>192</v>
      </c>
      <c r="D616" s="107">
        <f>D619+D628</f>
        <v>5497</v>
      </c>
      <c r="E616" s="107">
        <f t="shared" si="394"/>
        <v>5497</v>
      </c>
      <c r="F616" s="107">
        <f t="shared" si="394"/>
        <v>0</v>
      </c>
      <c r="G616" s="21">
        <f t="shared" si="387"/>
        <v>0</v>
      </c>
      <c r="H616" s="107">
        <f>H619+H628</f>
        <v>0</v>
      </c>
      <c r="I616" s="107">
        <f>I619+I628</f>
        <v>0</v>
      </c>
    </row>
    <row r="617" spans="1:9" ht="25.5" hidden="1" x14ac:dyDescent="0.2">
      <c r="A617" s="105" t="s">
        <v>29</v>
      </c>
      <c r="B617" s="108" t="s">
        <v>113</v>
      </c>
      <c r="C617" s="109" t="s">
        <v>194</v>
      </c>
      <c r="D617" s="110"/>
      <c r="E617" s="110"/>
      <c r="F617" s="110"/>
      <c r="G617" s="21" t="e">
        <f t="shared" si="387"/>
        <v>#DIV/0!</v>
      </c>
      <c r="H617" s="110"/>
      <c r="I617" s="110"/>
    </row>
    <row r="618" spans="1:9" hidden="1" x14ac:dyDescent="0.2">
      <c r="A618" s="105"/>
      <c r="B618" s="105" t="s">
        <v>189</v>
      </c>
      <c r="C618" s="106" t="s">
        <v>190</v>
      </c>
      <c r="D618" s="110">
        <f t="shared" ref="D618:D619" si="395">D621</f>
        <v>0</v>
      </c>
      <c r="E618" s="110">
        <f t="shared" ref="E618:F619" si="396">E621</f>
        <v>0</v>
      </c>
      <c r="F618" s="110">
        <f t="shared" si="396"/>
        <v>0</v>
      </c>
      <c r="G618" s="21" t="e">
        <f t="shared" si="387"/>
        <v>#DIV/0!</v>
      </c>
      <c r="H618" s="110">
        <f t="shared" ref="H618:I619" si="397">H621</f>
        <v>0</v>
      </c>
      <c r="I618" s="110">
        <f t="shared" si="397"/>
        <v>0</v>
      </c>
    </row>
    <row r="619" spans="1:9" hidden="1" x14ac:dyDescent="0.2">
      <c r="A619" s="105"/>
      <c r="B619" s="105" t="s">
        <v>191</v>
      </c>
      <c r="C619" s="106" t="s">
        <v>192</v>
      </c>
      <c r="D619" s="110">
        <f t="shared" si="395"/>
        <v>0</v>
      </c>
      <c r="E619" s="110">
        <f t="shared" si="396"/>
        <v>0</v>
      </c>
      <c r="F619" s="110">
        <f t="shared" si="396"/>
        <v>0</v>
      </c>
      <c r="G619" s="21" t="e">
        <f t="shared" si="387"/>
        <v>#DIV/0!</v>
      </c>
      <c r="H619" s="110">
        <f t="shared" si="397"/>
        <v>0</v>
      </c>
      <c r="I619" s="110">
        <f t="shared" si="397"/>
        <v>0</v>
      </c>
    </row>
    <row r="620" spans="1:9" hidden="1" x14ac:dyDescent="0.2">
      <c r="A620" s="105" t="s">
        <v>29</v>
      </c>
      <c r="B620" s="108" t="s">
        <v>152</v>
      </c>
      <c r="C620" s="109" t="s">
        <v>153</v>
      </c>
      <c r="D620" s="110"/>
      <c r="E620" s="110"/>
      <c r="F620" s="110"/>
      <c r="G620" s="21" t="e">
        <f t="shared" si="387"/>
        <v>#DIV/0!</v>
      </c>
      <c r="H620" s="110"/>
      <c r="I620" s="110"/>
    </row>
    <row r="621" spans="1:9" hidden="1" x14ac:dyDescent="0.2">
      <c r="A621" s="105"/>
      <c r="B621" s="105" t="s">
        <v>189</v>
      </c>
      <c r="C621" s="106" t="s">
        <v>190</v>
      </c>
      <c r="D621" s="110">
        <f t="shared" ref="D621:D622" si="398">D624</f>
        <v>0</v>
      </c>
      <c r="E621" s="110">
        <f t="shared" ref="E621:F622" si="399">E624</f>
        <v>0</v>
      </c>
      <c r="F621" s="110">
        <f t="shared" si="399"/>
        <v>0</v>
      </c>
      <c r="G621" s="21" t="e">
        <f t="shared" si="387"/>
        <v>#DIV/0!</v>
      </c>
      <c r="H621" s="110">
        <f t="shared" ref="H621:I622" si="400">H624</f>
        <v>0</v>
      </c>
      <c r="I621" s="110">
        <f t="shared" si="400"/>
        <v>0</v>
      </c>
    </row>
    <row r="622" spans="1:9" hidden="1" x14ac:dyDescent="0.2">
      <c r="A622" s="105"/>
      <c r="B622" s="105" t="s">
        <v>191</v>
      </c>
      <c r="C622" s="106" t="s">
        <v>192</v>
      </c>
      <c r="D622" s="110">
        <f t="shared" si="398"/>
        <v>0</v>
      </c>
      <c r="E622" s="110">
        <f t="shared" si="399"/>
        <v>0</v>
      </c>
      <c r="F622" s="110">
        <f t="shared" si="399"/>
        <v>0</v>
      </c>
      <c r="G622" s="21" t="e">
        <f t="shared" si="387"/>
        <v>#DIV/0!</v>
      </c>
      <c r="H622" s="110">
        <f t="shared" si="400"/>
        <v>0</v>
      </c>
      <c r="I622" s="110">
        <f t="shared" si="400"/>
        <v>0</v>
      </c>
    </row>
    <row r="623" spans="1:9" hidden="1" x14ac:dyDescent="0.2">
      <c r="A623" s="32" t="s">
        <v>29</v>
      </c>
      <c r="B623" s="58" t="s">
        <v>154</v>
      </c>
      <c r="C623" s="59" t="s">
        <v>241</v>
      </c>
      <c r="D623" s="111"/>
      <c r="E623" s="111"/>
      <c r="F623" s="111"/>
      <c r="G623" s="21" t="e">
        <f t="shared" si="387"/>
        <v>#DIV/0!</v>
      </c>
      <c r="H623" s="111"/>
      <c r="I623" s="111"/>
    </row>
    <row r="624" spans="1:9" hidden="1" x14ac:dyDescent="0.2">
      <c r="A624" s="32"/>
      <c r="B624" s="60" t="s">
        <v>189</v>
      </c>
      <c r="C624" s="97" t="s">
        <v>190</v>
      </c>
      <c r="D624" s="35"/>
      <c r="E624" s="28">
        <f>'Buget 2024'!D624</f>
        <v>0</v>
      </c>
      <c r="F624" s="29">
        <f t="shared" ref="F624:F625" si="401">E624-D624</f>
        <v>0</v>
      </c>
      <c r="G624" s="21" t="e">
        <f t="shared" si="387"/>
        <v>#DIV/0!</v>
      </c>
      <c r="H624" s="35"/>
      <c r="I624" s="35"/>
    </row>
    <row r="625" spans="1:9" hidden="1" x14ac:dyDescent="0.2">
      <c r="A625" s="32"/>
      <c r="B625" s="60" t="s">
        <v>191</v>
      </c>
      <c r="C625" s="97" t="s">
        <v>192</v>
      </c>
      <c r="D625" s="27"/>
      <c r="E625" s="28">
        <f>'Buget 2024'!D625</f>
        <v>0</v>
      </c>
      <c r="F625" s="29">
        <f t="shared" si="401"/>
        <v>0</v>
      </c>
      <c r="G625" s="21" t="e">
        <f>F625/D625*100</f>
        <v>#DIV/0!</v>
      </c>
      <c r="H625" s="27"/>
      <c r="I625" s="27"/>
    </row>
    <row r="626" spans="1:9" ht="38.25" x14ac:dyDescent="0.2">
      <c r="A626" s="112" t="s">
        <v>29</v>
      </c>
      <c r="B626" s="108">
        <v>58</v>
      </c>
      <c r="C626" s="109" t="s">
        <v>195</v>
      </c>
      <c r="D626" s="110"/>
      <c r="E626" s="110"/>
      <c r="F626" s="110"/>
      <c r="G626" s="21" t="e">
        <f t="shared" si="387"/>
        <v>#DIV/0!</v>
      </c>
      <c r="H626" s="110"/>
      <c r="I626" s="110"/>
    </row>
    <row r="627" spans="1:9" x14ac:dyDescent="0.2">
      <c r="A627" s="105"/>
      <c r="B627" s="105" t="s">
        <v>189</v>
      </c>
      <c r="C627" s="106" t="s">
        <v>190</v>
      </c>
      <c r="D627" s="110">
        <f t="shared" ref="D627:D628" si="402">D630</f>
        <v>5497</v>
      </c>
      <c r="E627" s="110">
        <f t="shared" ref="E627:F628" si="403">E630</f>
        <v>5497</v>
      </c>
      <c r="F627" s="110">
        <f t="shared" si="403"/>
        <v>0</v>
      </c>
      <c r="G627" s="21">
        <f t="shared" si="387"/>
        <v>0</v>
      </c>
      <c r="H627" s="110">
        <f t="shared" ref="H627:I628" si="404">H630</f>
        <v>0</v>
      </c>
      <c r="I627" s="110">
        <f t="shared" si="404"/>
        <v>0</v>
      </c>
    </row>
    <row r="628" spans="1:9" x14ac:dyDescent="0.2">
      <c r="A628" s="105"/>
      <c r="B628" s="105" t="s">
        <v>191</v>
      </c>
      <c r="C628" s="106" t="s">
        <v>192</v>
      </c>
      <c r="D628" s="110">
        <f t="shared" si="402"/>
        <v>5497</v>
      </c>
      <c r="E628" s="110">
        <f t="shared" si="403"/>
        <v>5497</v>
      </c>
      <c r="F628" s="110">
        <f t="shared" si="403"/>
        <v>0</v>
      </c>
      <c r="G628" s="21">
        <f t="shared" si="387"/>
        <v>0</v>
      </c>
      <c r="H628" s="110">
        <f t="shared" si="404"/>
        <v>0</v>
      </c>
      <c r="I628" s="110">
        <f t="shared" si="404"/>
        <v>0</v>
      </c>
    </row>
    <row r="629" spans="1:9" x14ac:dyDescent="0.2">
      <c r="A629" s="105" t="s">
        <v>29</v>
      </c>
      <c r="B629" s="113" t="s">
        <v>304</v>
      </c>
      <c r="C629" s="109" t="s">
        <v>153</v>
      </c>
      <c r="D629" s="110"/>
      <c r="E629" s="110"/>
      <c r="F629" s="110"/>
      <c r="G629" s="21" t="e">
        <f t="shared" si="387"/>
        <v>#DIV/0!</v>
      </c>
      <c r="H629" s="110"/>
      <c r="I629" s="110"/>
    </row>
    <row r="630" spans="1:9" x14ac:dyDescent="0.2">
      <c r="A630" s="105"/>
      <c r="B630" s="105" t="s">
        <v>189</v>
      </c>
      <c r="C630" s="106" t="s">
        <v>190</v>
      </c>
      <c r="D630" s="110">
        <f t="shared" ref="D630:D631" si="405">D633</f>
        <v>5497</v>
      </c>
      <c r="E630" s="110">
        <f t="shared" ref="E630:F631" si="406">E633</f>
        <v>5497</v>
      </c>
      <c r="F630" s="110">
        <f t="shared" si="406"/>
        <v>0</v>
      </c>
      <c r="G630" s="21">
        <f t="shared" si="387"/>
        <v>0</v>
      </c>
      <c r="H630" s="110">
        <f t="shared" ref="H630:I631" si="407">H633</f>
        <v>0</v>
      </c>
      <c r="I630" s="110">
        <f t="shared" si="407"/>
        <v>0</v>
      </c>
    </row>
    <row r="631" spans="1:9" x14ac:dyDescent="0.2">
      <c r="A631" s="105"/>
      <c r="B631" s="105" t="s">
        <v>191</v>
      </c>
      <c r="C631" s="106" t="s">
        <v>192</v>
      </c>
      <c r="D631" s="110">
        <f t="shared" si="405"/>
        <v>5497</v>
      </c>
      <c r="E631" s="110">
        <f t="shared" si="406"/>
        <v>5497</v>
      </c>
      <c r="F631" s="110">
        <f t="shared" si="406"/>
        <v>0</v>
      </c>
      <c r="G631" s="21">
        <f t="shared" si="387"/>
        <v>0</v>
      </c>
      <c r="H631" s="110">
        <f t="shared" si="407"/>
        <v>0</v>
      </c>
      <c r="I631" s="110">
        <f t="shared" si="407"/>
        <v>0</v>
      </c>
    </row>
    <row r="632" spans="1:9" x14ac:dyDescent="0.2">
      <c r="A632" s="32" t="s">
        <v>29</v>
      </c>
      <c r="B632" s="58" t="s">
        <v>124</v>
      </c>
      <c r="C632" s="59" t="s">
        <v>241</v>
      </c>
      <c r="D632" s="111"/>
      <c r="E632" s="111"/>
      <c r="F632" s="111"/>
      <c r="G632" s="21" t="e">
        <f t="shared" si="387"/>
        <v>#DIV/0!</v>
      </c>
      <c r="H632" s="111"/>
      <c r="I632" s="111"/>
    </row>
    <row r="633" spans="1:9" x14ac:dyDescent="0.2">
      <c r="A633" s="32"/>
      <c r="B633" s="60" t="s">
        <v>189</v>
      </c>
      <c r="C633" s="97" t="s">
        <v>190</v>
      </c>
      <c r="D633" s="35">
        <v>5497</v>
      </c>
      <c r="E633" s="28">
        <f>'Buget 2024'!D633</f>
        <v>5497</v>
      </c>
      <c r="F633" s="29">
        <f t="shared" ref="F633:F634" si="408">E633-D633</f>
        <v>0</v>
      </c>
      <c r="G633" s="21">
        <f t="shared" si="387"/>
        <v>0</v>
      </c>
      <c r="H633" s="27"/>
      <c r="I633" s="27">
        <f t="shared" ref="I633:I634" si="409">F633-H633</f>
        <v>0</v>
      </c>
    </row>
    <row r="634" spans="1:9" x14ac:dyDescent="0.2">
      <c r="A634" s="32"/>
      <c r="B634" s="60" t="s">
        <v>191</v>
      </c>
      <c r="C634" s="97" t="s">
        <v>192</v>
      </c>
      <c r="D634" s="27">
        <v>5497</v>
      </c>
      <c r="E634" s="28">
        <f>'Buget 2024'!D634</f>
        <v>5497</v>
      </c>
      <c r="F634" s="29">
        <f t="shared" si="408"/>
        <v>0</v>
      </c>
      <c r="G634" s="21">
        <f t="shared" si="387"/>
        <v>0</v>
      </c>
      <c r="H634" s="27"/>
      <c r="I634" s="27">
        <f t="shared" si="409"/>
        <v>0</v>
      </c>
    </row>
    <row r="635" spans="1:9" x14ac:dyDescent="0.2">
      <c r="A635" s="32" t="s">
        <v>29</v>
      </c>
      <c r="B635" s="32" t="s">
        <v>155</v>
      </c>
      <c r="C635" s="59" t="s">
        <v>156</v>
      </c>
      <c r="D635" s="111">
        <f>D15-D88</f>
        <v>-265670</v>
      </c>
      <c r="E635" s="111">
        <f>E15-E88</f>
        <v>-265670</v>
      </c>
      <c r="F635" s="111">
        <f>F15-F88</f>
        <v>0</v>
      </c>
      <c r="G635" s="21">
        <f t="shared" si="387"/>
        <v>0</v>
      </c>
      <c r="H635" s="111">
        <f>H15-H88</f>
        <v>0</v>
      </c>
      <c r="I635" s="111">
        <f>I15-I88</f>
        <v>0</v>
      </c>
    </row>
    <row r="638" spans="1:9" hidden="1" x14ac:dyDescent="0.2">
      <c r="A638" s="114"/>
      <c r="B638" s="114"/>
      <c r="C638" s="114" t="s">
        <v>295</v>
      </c>
      <c r="D638" s="2" t="s">
        <v>320</v>
      </c>
      <c r="E638" s="115"/>
      <c r="F638" s="2" t="s">
        <v>337</v>
      </c>
    </row>
    <row r="639" spans="1:9" ht="18" hidden="1" customHeight="1" x14ac:dyDescent="0.2">
      <c r="A639" s="114"/>
      <c r="B639" s="114"/>
      <c r="C639" s="114" t="s">
        <v>296</v>
      </c>
      <c r="D639" s="116" t="s">
        <v>321</v>
      </c>
      <c r="E639" s="115"/>
      <c r="F639" s="2" t="s">
        <v>338</v>
      </c>
    </row>
    <row r="640" spans="1:9" ht="18" customHeight="1" x14ac:dyDescent="0.2">
      <c r="C640" s="117"/>
    </row>
    <row r="641" spans="3:6" ht="17.25" customHeight="1" x14ac:dyDescent="0.2">
      <c r="C641" s="117"/>
      <c r="D641" s="115"/>
      <c r="E641" s="115"/>
      <c r="F641" s="115"/>
    </row>
  </sheetData>
  <mergeCells count="7">
    <mergeCell ref="A11:C11"/>
    <mergeCell ref="D1:F1"/>
    <mergeCell ref="D2:F2"/>
    <mergeCell ref="D4:F4"/>
    <mergeCell ref="D5:F5"/>
    <mergeCell ref="D6:F6"/>
    <mergeCell ref="A8:F9"/>
  </mergeCells>
  <pageMargins left="0.35433070866141736" right="0" top="0.74803149606299213" bottom="0.51181102362204722" header="0.31496062992125984" footer="0.31496062992125984"/>
  <pageSetup paperSize="9" scale="78" orientation="portrait" r:id="rId1"/>
  <rowBreaks count="5" manualBreakCount="5">
    <brk id="85" max="8" man="1"/>
    <brk id="229" max="8" man="1"/>
    <brk id="301" max="8" man="1"/>
    <brk id="448" max="8" man="1"/>
    <brk id="553"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0FBA4-25F7-4F12-8FFB-FFF6615BE455}">
  <sheetPr>
    <tabColor rgb="FF92D050"/>
  </sheetPr>
  <dimension ref="A1:BC645"/>
  <sheetViews>
    <sheetView zoomScale="160" zoomScaleNormal="160" zoomScaleSheetLayoutView="150" workbookViewId="0">
      <pane xSplit="3" ySplit="14" topLeftCell="D590" activePane="bottomRight" state="frozen"/>
      <selection pane="topRight" activeCell="D1" sqref="D1"/>
      <selection pane="bottomLeft" activeCell="A9" sqref="A9"/>
      <selection pane="bottomRight" activeCell="J9" sqref="J9"/>
    </sheetView>
  </sheetViews>
  <sheetFormatPr defaultColWidth="9.140625" defaultRowHeight="12.75" x14ac:dyDescent="0.2"/>
  <cols>
    <col min="1" max="1" width="10.42578125" style="2" customWidth="1"/>
    <col min="2" max="2" width="9.140625" style="2"/>
    <col min="3" max="3" width="55.7109375" style="2" customWidth="1"/>
    <col min="4" max="4" width="15.7109375" style="2" customWidth="1"/>
    <col min="5" max="5" width="13.28515625" style="2" bestFit="1" customWidth="1"/>
    <col min="6" max="6" width="1.5703125" style="2" hidden="1" customWidth="1"/>
    <col min="7" max="7" width="9.140625" style="2" hidden="1" customWidth="1"/>
    <col min="8" max="8" width="9.42578125" style="2" hidden="1" customWidth="1"/>
    <col min="9" max="9" width="9.140625" style="2" hidden="1" customWidth="1"/>
    <col min="10" max="10" width="9.140625" style="2" customWidth="1"/>
    <col min="11" max="16384" width="9.140625" style="2"/>
  </cols>
  <sheetData>
    <row r="1" spans="1:9" hidden="1" x14ac:dyDescent="0.2">
      <c r="A1" s="1"/>
      <c r="D1" s="142" t="s">
        <v>339</v>
      </c>
      <c r="E1" s="142"/>
    </row>
    <row r="2" spans="1:9" hidden="1" x14ac:dyDescent="0.2">
      <c r="A2" s="1"/>
      <c r="D2" s="142" t="s">
        <v>343</v>
      </c>
      <c r="E2" s="142"/>
    </row>
    <row r="3" spans="1:9" x14ac:dyDescent="0.2">
      <c r="A3" s="1"/>
      <c r="D3" s="129"/>
      <c r="E3" s="137" t="s">
        <v>393</v>
      </c>
    </row>
    <row r="4" spans="1:9" hidden="1" x14ac:dyDescent="0.2">
      <c r="A4" s="1"/>
      <c r="D4" s="143" t="s">
        <v>340</v>
      </c>
      <c r="E4" s="143"/>
    </row>
    <row r="5" spans="1:9" hidden="1" x14ac:dyDescent="0.2">
      <c r="A5" s="1"/>
      <c r="D5" s="144" t="s">
        <v>341</v>
      </c>
      <c r="E5" s="144"/>
    </row>
    <row r="6" spans="1:9" hidden="1" x14ac:dyDescent="0.2">
      <c r="A6" s="1"/>
      <c r="D6" s="144" t="s">
        <v>342</v>
      </c>
      <c r="E6" s="144"/>
    </row>
    <row r="7" spans="1:9" x14ac:dyDescent="0.2">
      <c r="A7" s="1"/>
      <c r="D7" s="4"/>
      <c r="E7" s="4"/>
    </row>
    <row r="8" spans="1:9" ht="15" customHeight="1" x14ac:dyDescent="0.2">
      <c r="A8" s="141" t="s">
        <v>396</v>
      </c>
      <c r="B8" s="141"/>
      <c r="C8" s="141"/>
      <c r="D8" s="141"/>
      <c r="E8" s="141"/>
    </row>
    <row r="9" spans="1:9" ht="18.75" customHeight="1" x14ac:dyDescent="0.2">
      <c r="A9" s="141"/>
      <c r="B9" s="141"/>
      <c r="C9" s="141"/>
      <c r="D9" s="141"/>
      <c r="E9" s="141"/>
    </row>
    <row r="10" spans="1:9" ht="10.5" customHeight="1" x14ac:dyDescent="0.2">
      <c r="A10" s="8"/>
      <c r="B10" s="8"/>
      <c r="C10" s="8"/>
      <c r="D10" s="8"/>
      <c r="E10" s="8"/>
    </row>
    <row r="11" spans="1:9" ht="15" customHeight="1" x14ac:dyDescent="0.2">
      <c r="A11" s="140" t="s">
        <v>157</v>
      </c>
      <c r="B11" s="140"/>
      <c r="C11" s="140"/>
      <c r="D11" s="9"/>
      <c r="E11" s="9"/>
    </row>
    <row r="12" spans="1:9" ht="19.5" customHeight="1" x14ac:dyDescent="0.2">
      <c r="A12" s="10"/>
      <c r="B12" s="11"/>
      <c r="C12" s="11"/>
      <c r="D12" s="12"/>
      <c r="E12" s="12" t="s">
        <v>287</v>
      </c>
    </row>
    <row r="13" spans="1:9" ht="38.25" x14ac:dyDescent="0.2">
      <c r="A13" s="13" t="s">
        <v>0</v>
      </c>
      <c r="B13" s="13" t="s">
        <v>286</v>
      </c>
      <c r="C13" s="14" t="s">
        <v>1</v>
      </c>
      <c r="D13" s="15" t="s">
        <v>408</v>
      </c>
      <c r="E13" s="15" t="s">
        <v>373</v>
      </c>
      <c r="G13" s="119"/>
      <c r="H13" s="120" t="s">
        <v>352</v>
      </c>
    </row>
    <row r="14" spans="1:9" x14ac:dyDescent="0.2">
      <c r="A14" s="16"/>
      <c r="B14" s="16">
        <v>1</v>
      </c>
      <c r="C14" s="17">
        <v>2</v>
      </c>
      <c r="D14" s="17">
        <v>3</v>
      </c>
      <c r="E14" s="17">
        <v>4</v>
      </c>
      <c r="G14" s="121" t="s">
        <v>269</v>
      </c>
      <c r="H14" s="120" t="s">
        <v>353</v>
      </c>
    </row>
    <row r="15" spans="1:9" x14ac:dyDescent="0.2">
      <c r="A15" s="18"/>
      <c r="B15" s="18"/>
      <c r="C15" s="19" t="s">
        <v>2</v>
      </c>
      <c r="D15" s="20">
        <f>D16+D34</f>
        <v>1541916</v>
      </c>
      <c r="E15" s="20">
        <f t="shared" ref="E15" si="0">E16+E34</f>
        <v>3278837</v>
      </c>
      <c r="G15" s="122">
        <f>E15-D15</f>
        <v>1736921</v>
      </c>
      <c r="H15" s="123">
        <f>G15/D15*100</f>
        <v>112.64692758879214</v>
      </c>
      <c r="I15" s="21">
        <f>D15/'Infl bvc '!D15*100</f>
        <v>51.468569750053405</v>
      </c>
    </row>
    <row r="16" spans="1:9" x14ac:dyDescent="0.2">
      <c r="A16" s="22"/>
      <c r="B16" s="22"/>
      <c r="C16" s="23" t="s">
        <v>3</v>
      </c>
      <c r="D16" s="24">
        <f>D17</f>
        <v>961061</v>
      </c>
      <c r="E16" s="24">
        <f t="shared" ref="E16" si="1">E17</f>
        <v>1540109</v>
      </c>
      <c r="G16" s="122">
        <f t="shared" ref="G16:G85" si="2">E16-D16</f>
        <v>579048</v>
      </c>
      <c r="H16" s="123">
        <f t="shared" ref="H16:H85" si="3">G16/D16*100</f>
        <v>60.250910191964927</v>
      </c>
      <c r="I16" s="21">
        <f>D16/'Infl bvc '!D16*100</f>
        <v>63.16968100349942</v>
      </c>
    </row>
    <row r="17" spans="1:10" x14ac:dyDescent="0.2">
      <c r="A17" s="22"/>
      <c r="B17" s="22"/>
      <c r="C17" s="23" t="s">
        <v>168</v>
      </c>
      <c r="D17" s="24">
        <f>D23+D25+D27+D18+D21+D32</f>
        <v>961061</v>
      </c>
      <c r="E17" s="24">
        <f>E23+E25+E27+E18+E21+E32</f>
        <v>1540109</v>
      </c>
      <c r="G17" s="122">
        <f t="shared" si="2"/>
        <v>579048</v>
      </c>
      <c r="H17" s="123">
        <f t="shared" si="3"/>
        <v>60.250910191964927</v>
      </c>
    </row>
    <row r="18" spans="1:10" x14ac:dyDescent="0.2">
      <c r="A18" s="22" t="s">
        <v>262</v>
      </c>
      <c r="B18" s="22"/>
      <c r="C18" s="23" t="s">
        <v>252</v>
      </c>
      <c r="D18" s="24">
        <f t="shared" ref="D18:E19" si="4">D19</f>
        <v>646</v>
      </c>
      <c r="E18" s="24">
        <f t="shared" si="4"/>
        <v>646</v>
      </c>
      <c r="G18" s="122">
        <f t="shared" si="2"/>
        <v>0</v>
      </c>
      <c r="H18" s="123">
        <f t="shared" si="3"/>
        <v>0</v>
      </c>
      <c r="J18" s="118"/>
    </row>
    <row r="19" spans="1:10" x14ac:dyDescent="0.2">
      <c r="A19" s="22" t="s">
        <v>261</v>
      </c>
      <c r="B19" s="22"/>
      <c r="C19" s="23" t="s">
        <v>253</v>
      </c>
      <c r="D19" s="24">
        <f t="shared" si="4"/>
        <v>646</v>
      </c>
      <c r="E19" s="24">
        <f t="shared" si="4"/>
        <v>646</v>
      </c>
      <c r="G19" s="122">
        <f t="shared" si="2"/>
        <v>0</v>
      </c>
      <c r="H19" s="123">
        <f t="shared" si="3"/>
        <v>0</v>
      </c>
      <c r="J19" s="118"/>
    </row>
    <row r="20" spans="1:10" ht="25.5" x14ac:dyDescent="0.2">
      <c r="A20" s="25" t="s">
        <v>260</v>
      </c>
      <c r="B20" s="25"/>
      <c r="C20" s="26" t="s">
        <v>254</v>
      </c>
      <c r="D20" s="27">
        <v>646</v>
      </c>
      <c r="E20" s="28">
        <f>'Buget 2024'!D20</f>
        <v>646</v>
      </c>
      <c r="G20" s="122">
        <f t="shared" si="2"/>
        <v>0</v>
      </c>
      <c r="H20" s="123">
        <f t="shared" si="3"/>
        <v>0</v>
      </c>
      <c r="J20" s="118"/>
    </row>
    <row r="21" spans="1:10" x14ac:dyDescent="0.2">
      <c r="A21" s="30" t="s">
        <v>283</v>
      </c>
      <c r="B21" s="22"/>
      <c r="C21" s="23" t="s">
        <v>285</v>
      </c>
      <c r="D21" s="24">
        <f>D22</f>
        <v>238</v>
      </c>
      <c r="E21" s="24">
        <f t="shared" ref="E21" si="5">E22</f>
        <v>238</v>
      </c>
      <c r="G21" s="122">
        <f t="shared" si="2"/>
        <v>0</v>
      </c>
      <c r="H21" s="123">
        <f t="shared" si="3"/>
        <v>0</v>
      </c>
    </row>
    <row r="22" spans="1:10" x14ac:dyDescent="0.2">
      <c r="A22" s="31" t="s">
        <v>284</v>
      </c>
      <c r="B22" s="32"/>
      <c r="C22" s="33" t="s">
        <v>285</v>
      </c>
      <c r="D22" s="27">
        <v>238</v>
      </c>
      <c r="E22" s="28">
        <f>'Buget 2024'!D22</f>
        <v>238</v>
      </c>
      <c r="G22" s="122">
        <f t="shared" si="2"/>
        <v>0</v>
      </c>
      <c r="H22" s="123">
        <f t="shared" si="3"/>
        <v>0</v>
      </c>
      <c r="I22" s="118"/>
    </row>
    <row r="23" spans="1:10" x14ac:dyDescent="0.2">
      <c r="A23" s="30" t="s">
        <v>4</v>
      </c>
      <c r="B23" s="22"/>
      <c r="C23" s="23" t="s">
        <v>169</v>
      </c>
      <c r="D23" s="24">
        <f t="shared" ref="D23:E23" si="6">D24</f>
        <v>953864</v>
      </c>
      <c r="E23" s="24">
        <f t="shared" si="6"/>
        <v>1526944</v>
      </c>
      <c r="G23" s="122">
        <f t="shared" si="2"/>
        <v>573080</v>
      </c>
      <c r="H23" s="123">
        <f t="shared" si="3"/>
        <v>60.079843667441054</v>
      </c>
      <c r="J23" s="118"/>
    </row>
    <row r="24" spans="1:10" x14ac:dyDescent="0.2">
      <c r="A24" s="31" t="s">
        <v>5</v>
      </c>
      <c r="B24" s="32"/>
      <c r="C24" s="33" t="s">
        <v>170</v>
      </c>
      <c r="D24" s="27">
        <v>953864</v>
      </c>
      <c r="E24" s="28">
        <f>'Buget 2024'!D24</f>
        <v>1526944</v>
      </c>
      <c r="G24" s="122">
        <f t="shared" si="2"/>
        <v>573080</v>
      </c>
      <c r="H24" s="123">
        <f t="shared" si="3"/>
        <v>60.079843667441054</v>
      </c>
    </row>
    <row r="25" spans="1:10" x14ac:dyDescent="0.2">
      <c r="A25" s="30" t="s">
        <v>6</v>
      </c>
      <c r="B25" s="22"/>
      <c r="C25" s="23" t="s">
        <v>171</v>
      </c>
      <c r="D25" s="24">
        <f t="shared" ref="D25:E25" si="7">D26</f>
        <v>490</v>
      </c>
      <c r="E25" s="24">
        <f t="shared" si="7"/>
        <v>743</v>
      </c>
      <c r="G25" s="122">
        <f t="shared" si="2"/>
        <v>253</v>
      </c>
      <c r="H25" s="123">
        <f t="shared" si="3"/>
        <v>51.632653061224488</v>
      </c>
    </row>
    <row r="26" spans="1:10" x14ac:dyDescent="0.2">
      <c r="A26" s="31" t="s">
        <v>7</v>
      </c>
      <c r="B26" s="32"/>
      <c r="C26" s="33" t="s">
        <v>172</v>
      </c>
      <c r="D26" s="27">
        <v>490</v>
      </c>
      <c r="E26" s="28">
        <f>'Buget 2024'!D26</f>
        <v>743</v>
      </c>
      <c r="G26" s="122">
        <f t="shared" si="2"/>
        <v>253</v>
      </c>
      <c r="H26" s="123">
        <f t="shared" si="3"/>
        <v>51.632653061224488</v>
      </c>
    </row>
    <row r="27" spans="1:10" x14ac:dyDescent="0.2">
      <c r="A27" s="30" t="s">
        <v>8</v>
      </c>
      <c r="B27" s="22"/>
      <c r="C27" s="23" t="s">
        <v>9</v>
      </c>
      <c r="D27" s="36">
        <f>D28+D29</f>
        <v>5823</v>
      </c>
      <c r="E27" s="36">
        <f t="shared" ref="E27" si="8">E28+E29</f>
        <v>11538</v>
      </c>
      <c r="G27" s="122">
        <f t="shared" si="2"/>
        <v>5715</v>
      </c>
      <c r="H27" s="123">
        <f t="shared" si="3"/>
        <v>98.145285935084999</v>
      </c>
      <c r="J27" s="118"/>
    </row>
    <row r="28" spans="1:10" hidden="1" x14ac:dyDescent="0.2">
      <c r="A28" s="37" t="s">
        <v>259</v>
      </c>
      <c r="B28" s="25"/>
      <c r="C28" s="26" t="s">
        <v>255</v>
      </c>
      <c r="D28" s="38"/>
      <c r="E28" s="38"/>
      <c r="G28" s="122">
        <f t="shared" si="2"/>
        <v>0</v>
      </c>
      <c r="H28" s="123" t="e">
        <f t="shared" si="3"/>
        <v>#DIV/0!</v>
      </c>
    </row>
    <row r="29" spans="1:10" x14ac:dyDescent="0.2">
      <c r="A29" s="30" t="s">
        <v>10</v>
      </c>
      <c r="B29" s="22"/>
      <c r="C29" s="23" t="s">
        <v>11</v>
      </c>
      <c r="D29" s="24">
        <f>D30+D31</f>
        <v>5823</v>
      </c>
      <c r="E29" s="24">
        <f t="shared" ref="E29" si="9">E30+E31</f>
        <v>11538</v>
      </c>
      <c r="G29" s="122">
        <f t="shared" si="2"/>
        <v>5715</v>
      </c>
      <c r="H29" s="123">
        <f t="shared" si="3"/>
        <v>98.145285935084999</v>
      </c>
    </row>
    <row r="30" spans="1:10" ht="25.5" x14ac:dyDescent="0.2">
      <c r="A30" s="31"/>
      <c r="B30" s="32"/>
      <c r="C30" s="33" t="s">
        <v>173</v>
      </c>
      <c r="D30" s="27">
        <v>4362</v>
      </c>
      <c r="E30" s="28">
        <f>'Buget 2024'!D30</f>
        <v>9452</v>
      </c>
      <c r="G30" s="122">
        <f t="shared" si="2"/>
        <v>5090</v>
      </c>
      <c r="H30" s="123">
        <f t="shared" si="3"/>
        <v>116.68959193030719</v>
      </c>
    </row>
    <row r="31" spans="1:10" x14ac:dyDescent="0.2">
      <c r="A31" s="31"/>
      <c r="B31" s="32"/>
      <c r="C31" s="33" t="s">
        <v>174</v>
      </c>
      <c r="D31" s="27">
        <f>5823-4362</f>
        <v>1461</v>
      </c>
      <c r="E31" s="28">
        <f>'Buget 2024'!D31</f>
        <v>2086</v>
      </c>
      <c r="G31" s="122">
        <f t="shared" si="2"/>
        <v>625</v>
      </c>
      <c r="H31" s="123">
        <f t="shared" si="3"/>
        <v>42.778918548939082</v>
      </c>
    </row>
    <row r="32" spans="1:10" hidden="1" x14ac:dyDescent="0.2">
      <c r="A32" s="30" t="s">
        <v>390</v>
      </c>
      <c r="B32" s="22"/>
      <c r="C32" s="23" t="s">
        <v>392</v>
      </c>
      <c r="D32" s="24">
        <f>D33</f>
        <v>0</v>
      </c>
      <c r="E32" s="24">
        <f>E33</f>
        <v>0</v>
      </c>
      <c r="G32" s="122">
        <f t="shared" ref="G32:G33" si="10">E32-D32</f>
        <v>0</v>
      </c>
      <c r="H32" s="123" t="e">
        <f t="shared" ref="H32:H33" si="11">G32/D32*100</f>
        <v>#DIV/0!</v>
      </c>
    </row>
    <row r="33" spans="1:10" ht="25.5" hidden="1" x14ac:dyDescent="0.2">
      <c r="A33" s="31" t="s">
        <v>391</v>
      </c>
      <c r="B33" s="32"/>
      <c r="C33" s="33" t="s">
        <v>389</v>
      </c>
      <c r="D33" s="27"/>
      <c r="E33" s="28">
        <f>'Buget 2024'!D33</f>
        <v>0</v>
      </c>
      <c r="G33" s="122">
        <f t="shared" si="10"/>
        <v>0</v>
      </c>
      <c r="H33" s="123" t="e">
        <f t="shared" si="11"/>
        <v>#DIV/0!</v>
      </c>
    </row>
    <row r="34" spans="1:10" x14ac:dyDescent="0.2">
      <c r="A34" s="22"/>
      <c r="B34" s="22"/>
      <c r="C34" s="39" t="s">
        <v>175</v>
      </c>
      <c r="D34" s="24">
        <f>D35+D52+D65</f>
        <v>580855</v>
      </c>
      <c r="E34" s="24">
        <f>E35+E52+E65</f>
        <v>1738728</v>
      </c>
      <c r="G34" s="122">
        <f t="shared" si="2"/>
        <v>1157873</v>
      </c>
      <c r="H34" s="123">
        <f t="shared" si="3"/>
        <v>199.33942205886152</v>
      </c>
      <c r="J34" s="118"/>
    </row>
    <row r="35" spans="1:10" x14ac:dyDescent="0.2">
      <c r="A35" s="30" t="s">
        <v>12</v>
      </c>
      <c r="B35" s="22"/>
      <c r="C35" s="23" t="s">
        <v>176</v>
      </c>
      <c r="D35" s="24">
        <f>D36+D44+D46+D45+D50</f>
        <v>577270</v>
      </c>
      <c r="E35" s="24">
        <f>E36+E44+E46+E45+E50</f>
        <v>1726811</v>
      </c>
      <c r="G35" s="122">
        <f t="shared" si="2"/>
        <v>1149541</v>
      </c>
      <c r="H35" s="123">
        <f t="shared" si="3"/>
        <v>199.1340274048539</v>
      </c>
      <c r="I35" s="124">
        <f>D35-D484</f>
        <v>0</v>
      </c>
    </row>
    <row r="36" spans="1:10" ht="25.5" x14ac:dyDescent="0.2">
      <c r="A36" s="30" t="s">
        <v>13</v>
      </c>
      <c r="B36" s="22"/>
      <c r="C36" s="23" t="s">
        <v>177</v>
      </c>
      <c r="D36" s="24">
        <f>D37+D39+D43+D38</f>
        <v>118599</v>
      </c>
      <c r="E36" s="24">
        <f t="shared" ref="E36" si="12">E37+E39+E43+E38</f>
        <v>325263</v>
      </c>
      <c r="G36" s="122">
        <f t="shared" si="2"/>
        <v>206664</v>
      </c>
      <c r="H36" s="123">
        <f t="shared" si="3"/>
        <v>174.25442035767585</v>
      </c>
    </row>
    <row r="37" spans="1:10" ht="25.5" x14ac:dyDescent="0.2">
      <c r="A37" s="32"/>
      <c r="B37" s="32"/>
      <c r="C37" s="33" t="s">
        <v>178</v>
      </c>
      <c r="D37" s="27">
        <v>483</v>
      </c>
      <c r="E37" s="28">
        <f>'Buget 2024'!D37</f>
        <v>139643</v>
      </c>
      <c r="G37" s="122">
        <f t="shared" si="2"/>
        <v>139160</v>
      </c>
      <c r="H37" s="123">
        <f t="shared" si="3"/>
        <v>28811.594202898552</v>
      </c>
    </row>
    <row r="38" spans="1:10" x14ac:dyDescent="0.2">
      <c r="A38" s="32"/>
      <c r="B38" s="32"/>
      <c r="C38" s="33" t="s">
        <v>179</v>
      </c>
      <c r="D38" s="27">
        <v>58709</v>
      </c>
      <c r="E38" s="28">
        <f>'Buget 2024'!D38</f>
        <v>85000</v>
      </c>
      <c r="G38" s="122">
        <f t="shared" si="2"/>
        <v>26291</v>
      </c>
      <c r="H38" s="123">
        <f t="shared" si="3"/>
        <v>44.781890340492943</v>
      </c>
    </row>
    <row r="39" spans="1:10" x14ac:dyDescent="0.2">
      <c r="A39" s="22"/>
      <c r="B39" s="22"/>
      <c r="C39" s="23" t="s">
        <v>180</v>
      </c>
      <c r="D39" s="24">
        <f>D40+D41+D42</f>
        <v>58599</v>
      </c>
      <c r="E39" s="24">
        <f t="shared" ref="E39" si="13">E40+E41+E42</f>
        <v>99270</v>
      </c>
      <c r="G39" s="122">
        <f t="shared" si="2"/>
        <v>40671</v>
      </c>
      <c r="H39" s="123">
        <f t="shared" si="3"/>
        <v>69.405621256335436</v>
      </c>
    </row>
    <row r="40" spans="1:10" x14ac:dyDescent="0.2">
      <c r="A40" s="32"/>
      <c r="B40" s="32"/>
      <c r="C40" s="33" t="s">
        <v>134</v>
      </c>
      <c r="D40" s="27">
        <v>55958</v>
      </c>
      <c r="E40" s="28">
        <f>'Buget 2024'!D40</f>
        <v>96590</v>
      </c>
      <c r="G40" s="122">
        <f t="shared" si="2"/>
        <v>40632</v>
      </c>
      <c r="H40" s="123">
        <f t="shared" si="3"/>
        <v>72.611601558311591</v>
      </c>
    </row>
    <row r="41" spans="1:10" hidden="1" x14ac:dyDescent="0.2">
      <c r="A41" s="32"/>
      <c r="B41" s="32"/>
      <c r="C41" s="33" t="s">
        <v>14</v>
      </c>
      <c r="D41" s="27"/>
      <c r="E41" s="28">
        <f>'Buget 2024'!D41</f>
        <v>0</v>
      </c>
      <c r="G41" s="122">
        <f t="shared" si="2"/>
        <v>0</v>
      </c>
      <c r="H41" s="123" t="e">
        <f t="shared" si="3"/>
        <v>#DIV/0!</v>
      </c>
    </row>
    <row r="42" spans="1:10" x14ac:dyDescent="0.2">
      <c r="A42" s="32"/>
      <c r="B42" s="32"/>
      <c r="C42" s="33" t="s">
        <v>322</v>
      </c>
      <c r="D42" s="27">
        <v>2641</v>
      </c>
      <c r="E42" s="28">
        <f>'Buget 2024'!D42</f>
        <v>2680</v>
      </c>
      <c r="G42" s="122">
        <f t="shared" si="2"/>
        <v>39</v>
      </c>
      <c r="H42" s="123">
        <f t="shared" si="3"/>
        <v>1.476713366149186</v>
      </c>
    </row>
    <row r="43" spans="1:10" x14ac:dyDescent="0.2">
      <c r="A43" s="40"/>
      <c r="B43" s="40"/>
      <c r="C43" s="41" t="s">
        <v>181</v>
      </c>
      <c r="D43" s="24">
        <v>808</v>
      </c>
      <c r="E43" s="24">
        <f>'Buget 2024'!D43</f>
        <v>1350</v>
      </c>
      <c r="G43" s="122">
        <f t="shared" si="2"/>
        <v>542</v>
      </c>
      <c r="H43" s="123">
        <f t="shared" si="3"/>
        <v>67.079207920792086</v>
      </c>
    </row>
    <row r="44" spans="1:10" ht="38.25" hidden="1" x14ac:dyDescent="0.2">
      <c r="A44" s="42" t="s">
        <v>331</v>
      </c>
      <c r="B44" s="40"/>
      <c r="C44" s="41" t="s">
        <v>182</v>
      </c>
      <c r="D44" s="24"/>
      <c r="E44" s="24">
        <f>'Buget 2024'!D44</f>
        <v>0</v>
      </c>
      <c r="G44" s="122">
        <f t="shared" si="2"/>
        <v>0</v>
      </c>
      <c r="H44" s="123" t="e">
        <f t="shared" si="3"/>
        <v>#DIV/0!</v>
      </c>
      <c r="J44" s="118"/>
    </row>
    <row r="45" spans="1:10" ht="51" x14ac:dyDescent="0.2">
      <c r="A45" s="42" t="s">
        <v>358</v>
      </c>
      <c r="B45" s="40"/>
      <c r="C45" s="41" t="s">
        <v>359</v>
      </c>
      <c r="D45" s="24">
        <v>64820</v>
      </c>
      <c r="E45" s="24">
        <f>'Buget 2024'!D45</f>
        <v>203107</v>
      </c>
      <c r="G45" s="122">
        <f t="shared" si="2"/>
        <v>138287</v>
      </c>
      <c r="H45" s="123">
        <f t="shared" si="3"/>
        <v>213.3400185128047</v>
      </c>
    </row>
    <row r="46" spans="1:10" x14ac:dyDescent="0.2">
      <c r="A46" s="42" t="s">
        <v>306</v>
      </c>
      <c r="B46" s="40"/>
      <c r="C46" s="41" t="s">
        <v>307</v>
      </c>
      <c r="D46" s="24">
        <f>SUM(D47:D49)</f>
        <v>35322</v>
      </c>
      <c r="E46" s="24">
        <f t="shared" ref="E46" si="14">SUM(E47:E49)</f>
        <v>473858</v>
      </c>
      <c r="G46" s="122">
        <f t="shared" si="2"/>
        <v>438536</v>
      </c>
      <c r="H46" s="123">
        <f t="shared" si="3"/>
        <v>1241.5378517637732</v>
      </c>
    </row>
    <row r="47" spans="1:10" x14ac:dyDescent="0.2">
      <c r="A47" s="43" t="s">
        <v>308</v>
      </c>
      <c r="B47" s="44"/>
      <c r="C47" s="45" t="s">
        <v>311</v>
      </c>
      <c r="D47" s="28">
        <v>30353</v>
      </c>
      <c r="E47" s="28">
        <f>'Buget 2024'!D47</f>
        <v>399368</v>
      </c>
      <c r="G47" s="122">
        <f t="shared" si="2"/>
        <v>369015</v>
      </c>
      <c r="H47" s="123">
        <f t="shared" si="3"/>
        <v>1215.7447369288043</v>
      </c>
    </row>
    <row r="48" spans="1:10" hidden="1" x14ac:dyDescent="0.2">
      <c r="A48" s="43" t="s">
        <v>309</v>
      </c>
      <c r="B48" s="44"/>
      <c r="C48" s="45" t="s">
        <v>312</v>
      </c>
      <c r="D48" s="28"/>
      <c r="E48" s="28">
        <f>'Buget 2024'!D48</f>
        <v>0</v>
      </c>
      <c r="G48" s="122">
        <f t="shared" si="2"/>
        <v>0</v>
      </c>
      <c r="H48" s="123" t="e">
        <f t="shared" si="3"/>
        <v>#DIV/0!</v>
      </c>
    </row>
    <row r="49" spans="1:8" x14ac:dyDescent="0.2">
      <c r="A49" s="43" t="s">
        <v>310</v>
      </c>
      <c r="B49" s="44"/>
      <c r="C49" s="45" t="s">
        <v>313</v>
      </c>
      <c r="D49" s="28">
        <v>4969</v>
      </c>
      <c r="E49" s="28">
        <f>'Buget 2024'!D49</f>
        <v>74490</v>
      </c>
      <c r="G49" s="122">
        <f t="shared" si="2"/>
        <v>69521</v>
      </c>
      <c r="H49" s="123">
        <f t="shared" si="3"/>
        <v>1399.0943851881666</v>
      </c>
    </row>
    <row r="50" spans="1:8" ht="38.25" x14ac:dyDescent="0.2">
      <c r="A50" s="42" t="s">
        <v>385</v>
      </c>
      <c r="B50" s="40"/>
      <c r="C50" s="41" t="s">
        <v>384</v>
      </c>
      <c r="D50" s="24">
        <f>D51</f>
        <v>358529</v>
      </c>
      <c r="E50" s="24">
        <f>E51</f>
        <v>724583</v>
      </c>
      <c r="G50" s="122">
        <f t="shared" si="2"/>
        <v>366054</v>
      </c>
      <c r="H50" s="123">
        <f t="shared" si="3"/>
        <v>102.09885392813413</v>
      </c>
    </row>
    <row r="51" spans="1:8" ht="38.25" x14ac:dyDescent="0.2">
      <c r="A51" s="43" t="s">
        <v>386</v>
      </c>
      <c r="B51" s="44"/>
      <c r="C51" s="45" t="s">
        <v>383</v>
      </c>
      <c r="D51" s="28">
        <v>358529</v>
      </c>
      <c r="E51" s="28">
        <f>'Buget 2024'!D51</f>
        <v>724583</v>
      </c>
      <c r="G51" s="122">
        <f t="shared" si="2"/>
        <v>366054</v>
      </c>
      <c r="H51" s="123">
        <f t="shared" si="3"/>
        <v>102.09885392813413</v>
      </c>
    </row>
    <row r="52" spans="1:8" ht="25.5" x14ac:dyDescent="0.2">
      <c r="A52" s="30" t="s">
        <v>15</v>
      </c>
      <c r="B52" s="22"/>
      <c r="C52" s="39" t="s">
        <v>183</v>
      </c>
      <c r="D52" s="24">
        <f>D53+D55+D58</f>
        <v>0</v>
      </c>
      <c r="E52" s="24">
        <f>E53+E55+E58</f>
        <v>2133</v>
      </c>
      <c r="G52" s="122">
        <f t="shared" si="2"/>
        <v>2133</v>
      </c>
      <c r="H52" s="123" t="e">
        <f t="shared" si="3"/>
        <v>#DIV/0!</v>
      </c>
    </row>
    <row r="53" spans="1:8" hidden="1" x14ac:dyDescent="0.2">
      <c r="A53" s="30" t="s">
        <v>16</v>
      </c>
      <c r="B53" s="22"/>
      <c r="C53" s="39" t="s">
        <v>184</v>
      </c>
      <c r="D53" s="24">
        <f>SUM(D54:D54)</f>
        <v>0</v>
      </c>
      <c r="E53" s="24">
        <f t="shared" ref="E53" si="15">SUM(E54:E54)</f>
        <v>0</v>
      </c>
      <c r="G53" s="122">
        <f t="shared" si="2"/>
        <v>0</v>
      </c>
      <c r="H53" s="123" t="e">
        <f t="shared" si="3"/>
        <v>#DIV/0!</v>
      </c>
    </row>
    <row r="54" spans="1:8" hidden="1" x14ac:dyDescent="0.2">
      <c r="A54" s="31" t="s">
        <v>17</v>
      </c>
      <c r="B54" s="32"/>
      <c r="C54" s="33" t="s">
        <v>18</v>
      </c>
      <c r="D54" s="27"/>
      <c r="E54" s="28">
        <f>'Buget 2024'!D54</f>
        <v>0</v>
      </c>
      <c r="G54" s="122">
        <f t="shared" si="2"/>
        <v>0</v>
      </c>
      <c r="H54" s="123" t="e">
        <f t="shared" si="3"/>
        <v>#DIV/0!</v>
      </c>
    </row>
    <row r="55" spans="1:8" hidden="1" x14ac:dyDescent="0.2">
      <c r="A55" s="30" t="s">
        <v>19</v>
      </c>
      <c r="B55" s="22"/>
      <c r="C55" s="39" t="s">
        <v>186</v>
      </c>
      <c r="D55" s="24">
        <f>SUM(D56:D57)</f>
        <v>0</v>
      </c>
      <c r="E55" s="24">
        <f>SUM(E56:E57)</f>
        <v>0</v>
      </c>
      <c r="G55" s="122">
        <f t="shared" si="2"/>
        <v>0</v>
      </c>
      <c r="H55" s="123" t="e">
        <f t="shared" si="3"/>
        <v>#DIV/0!</v>
      </c>
    </row>
    <row r="56" spans="1:8" hidden="1" x14ac:dyDescent="0.2">
      <c r="A56" s="31" t="s">
        <v>303</v>
      </c>
      <c r="B56" s="32"/>
      <c r="C56" s="33" t="s">
        <v>18</v>
      </c>
      <c r="D56" s="27"/>
      <c r="E56" s="28">
        <f>'Buget 2024'!D56</f>
        <v>0</v>
      </c>
      <c r="G56" s="122">
        <f t="shared" si="2"/>
        <v>0</v>
      </c>
      <c r="H56" s="123" t="e">
        <f t="shared" si="3"/>
        <v>#DIV/0!</v>
      </c>
    </row>
    <row r="57" spans="1:8" hidden="1" x14ac:dyDescent="0.2">
      <c r="A57" s="31" t="s">
        <v>360</v>
      </c>
      <c r="B57" s="32"/>
      <c r="C57" s="33" t="s">
        <v>185</v>
      </c>
      <c r="D57" s="27"/>
      <c r="E57" s="28">
        <f>'Buget 2024'!D57</f>
        <v>0</v>
      </c>
      <c r="G57" s="122">
        <f t="shared" si="2"/>
        <v>0</v>
      </c>
      <c r="H57" s="123" t="e">
        <f t="shared" si="3"/>
        <v>#DIV/0!</v>
      </c>
    </row>
    <row r="58" spans="1:8" x14ac:dyDescent="0.2">
      <c r="A58" s="30" t="s">
        <v>402</v>
      </c>
      <c r="B58" s="22"/>
      <c r="C58" s="39" t="s">
        <v>363</v>
      </c>
      <c r="D58" s="24">
        <f>SUM(D59:D61)</f>
        <v>0</v>
      </c>
      <c r="E58" s="24">
        <f>SUM(E59:E61)</f>
        <v>2133</v>
      </c>
      <c r="G58" s="122"/>
      <c r="H58" s="123"/>
    </row>
    <row r="59" spans="1:8" hidden="1" x14ac:dyDescent="0.2">
      <c r="A59" s="31" t="s">
        <v>405</v>
      </c>
      <c r="B59" s="32"/>
      <c r="C59" s="33" t="s">
        <v>403</v>
      </c>
      <c r="D59" s="27"/>
      <c r="E59" s="28">
        <f>'Buget 2024'!D59</f>
        <v>0</v>
      </c>
      <c r="G59" s="122"/>
      <c r="H59" s="123"/>
    </row>
    <row r="60" spans="1:8" hidden="1" x14ac:dyDescent="0.2">
      <c r="A60" s="31" t="s">
        <v>406</v>
      </c>
      <c r="B60" s="32"/>
      <c r="C60" s="33" t="s">
        <v>404</v>
      </c>
      <c r="D60" s="27"/>
      <c r="E60" s="28">
        <f>'Buget 2024'!D60</f>
        <v>0</v>
      </c>
      <c r="G60" s="122"/>
      <c r="H60" s="123"/>
    </row>
    <row r="61" spans="1:8" x14ac:dyDescent="0.2">
      <c r="A61" s="31" t="s">
        <v>407</v>
      </c>
      <c r="B61" s="32"/>
      <c r="C61" s="33" t="s">
        <v>185</v>
      </c>
      <c r="D61" s="27"/>
      <c r="E61" s="28">
        <f>'Buget 2024'!D61</f>
        <v>2133</v>
      </c>
      <c r="G61" s="122"/>
      <c r="H61" s="123"/>
    </row>
    <row r="62" spans="1:8" ht="25.5" hidden="1" x14ac:dyDescent="0.2">
      <c r="A62" s="30" t="s">
        <v>370</v>
      </c>
      <c r="B62" s="22"/>
      <c r="C62" s="39" t="s">
        <v>187</v>
      </c>
      <c r="D62" s="24">
        <f t="shared" ref="D62:E63" si="16">D63</f>
        <v>0</v>
      </c>
      <c r="E62" s="24">
        <f t="shared" si="16"/>
        <v>0</v>
      </c>
      <c r="G62" s="122">
        <f t="shared" si="2"/>
        <v>0</v>
      </c>
      <c r="H62" s="123" t="e">
        <f t="shared" si="3"/>
        <v>#DIV/0!</v>
      </c>
    </row>
    <row r="63" spans="1:8" hidden="1" x14ac:dyDescent="0.2">
      <c r="A63" s="30" t="s">
        <v>329</v>
      </c>
      <c r="B63" s="22"/>
      <c r="C63" s="23" t="s">
        <v>325</v>
      </c>
      <c r="D63" s="24">
        <f t="shared" si="16"/>
        <v>0</v>
      </c>
      <c r="E63" s="24">
        <f t="shared" si="16"/>
        <v>0</v>
      </c>
      <c r="G63" s="122">
        <f t="shared" si="2"/>
        <v>0</v>
      </c>
      <c r="H63" s="123" t="e">
        <f t="shared" si="3"/>
        <v>#DIV/0!</v>
      </c>
    </row>
    <row r="64" spans="1:8" hidden="1" x14ac:dyDescent="0.2">
      <c r="A64" s="31" t="s">
        <v>330</v>
      </c>
      <c r="B64" s="32"/>
      <c r="C64" s="33" t="s">
        <v>185</v>
      </c>
      <c r="D64" s="27"/>
      <c r="E64" s="28">
        <f>'Buget 2024'!D64</f>
        <v>0</v>
      </c>
      <c r="G64" s="122">
        <f t="shared" si="2"/>
        <v>0</v>
      </c>
      <c r="H64" s="123" t="e">
        <f t="shared" si="3"/>
        <v>#DIV/0!</v>
      </c>
    </row>
    <row r="65" spans="1:8" ht="25.5" x14ac:dyDescent="0.2">
      <c r="A65" s="30" t="s">
        <v>21</v>
      </c>
      <c r="B65" s="22"/>
      <c r="C65" s="39" t="s">
        <v>187</v>
      </c>
      <c r="D65" s="24">
        <f>D74+D66+D82+D70+D78+D80</f>
        <v>3585</v>
      </c>
      <c r="E65" s="24">
        <f>E74+E66+E82+E70+E78+E80</f>
        <v>9784</v>
      </c>
      <c r="G65" s="122">
        <f t="shared" si="2"/>
        <v>6199</v>
      </c>
      <c r="H65" s="123">
        <f t="shared" si="3"/>
        <v>172.91492329149233</v>
      </c>
    </row>
    <row r="66" spans="1:8" hidden="1" x14ac:dyDescent="0.2">
      <c r="A66" s="30" t="s">
        <v>22</v>
      </c>
      <c r="B66" s="22"/>
      <c r="C66" s="23" t="s">
        <v>188</v>
      </c>
      <c r="D66" s="24">
        <f>SUM(D67:D69)</f>
        <v>0</v>
      </c>
      <c r="E66" s="24">
        <f t="shared" ref="E66" si="17">SUM(E67:E69)</f>
        <v>0</v>
      </c>
      <c r="G66" s="122">
        <f t="shared" si="2"/>
        <v>0</v>
      </c>
      <c r="H66" s="123" t="e">
        <f t="shared" si="3"/>
        <v>#DIV/0!</v>
      </c>
    </row>
    <row r="67" spans="1:8" hidden="1" x14ac:dyDescent="0.2">
      <c r="A67" s="31" t="s">
        <v>23</v>
      </c>
      <c r="B67" s="32"/>
      <c r="C67" s="33" t="s">
        <v>20</v>
      </c>
      <c r="D67" s="27"/>
      <c r="E67" s="28">
        <f>'Buget 2024'!D67</f>
        <v>0</v>
      </c>
      <c r="G67" s="122">
        <f t="shared" si="2"/>
        <v>0</v>
      </c>
      <c r="H67" s="123" t="e">
        <f t="shared" si="3"/>
        <v>#DIV/0!</v>
      </c>
    </row>
    <row r="68" spans="1:8" hidden="1" x14ac:dyDescent="0.2">
      <c r="A68" s="31" t="s">
        <v>257</v>
      </c>
      <c r="B68" s="32"/>
      <c r="C68" s="33" t="s">
        <v>256</v>
      </c>
      <c r="D68" s="27"/>
      <c r="E68" s="28">
        <f>'Buget 2024'!D68</f>
        <v>0</v>
      </c>
      <c r="G68" s="122">
        <f t="shared" si="2"/>
        <v>0</v>
      </c>
      <c r="H68" s="123" t="e">
        <f t="shared" si="3"/>
        <v>#DIV/0!</v>
      </c>
    </row>
    <row r="69" spans="1:8" hidden="1" x14ac:dyDescent="0.2">
      <c r="A69" s="31" t="s">
        <v>258</v>
      </c>
      <c r="B69" s="32"/>
      <c r="C69" s="33" t="s">
        <v>185</v>
      </c>
      <c r="D69" s="27"/>
      <c r="E69" s="28">
        <f>'Buget 2024'!D69</f>
        <v>0</v>
      </c>
      <c r="G69" s="122">
        <f t="shared" si="2"/>
        <v>0</v>
      </c>
      <c r="H69" s="123" t="e">
        <f t="shared" si="3"/>
        <v>#DIV/0!</v>
      </c>
    </row>
    <row r="70" spans="1:8" x14ac:dyDescent="0.2">
      <c r="A70" s="30" t="s">
        <v>277</v>
      </c>
      <c r="B70" s="22"/>
      <c r="C70" s="23" t="s">
        <v>279</v>
      </c>
      <c r="D70" s="24">
        <f>SUM(D71:D73)</f>
        <v>3575</v>
      </c>
      <c r="E70" s="24">
        <f t="shared" ref="E70" si="18">SUM(E71:E73)</f>
        <v>3770</v>
      </c>
      <c r="G70" s="122">
        <f t="shared" si="2"/>
        <v>195</v>
      </c>
      <c r="H70" s="123">
        <f t="shared" si="3"/>
        <v>5.4545454545454541</v>
      </c>
    </row>
    <row r="71" spans="1:8" hidden="1" x14ac:dyDescent="0.2">
      <c r="A71" s="31" t="s">
        <v>278</v>
      </c>
      <c r="B71" s="32"/>
      <c r="C71" s="33" t="s">
        <v>20</v>
      </c>
      <c r="D71" s="27"/>
      <c r="E71" s="28">
        <f>'Buget 2024'!D71</f>
        <v>0</v>
      </c>
      <c r="G71" s="122">
        <f t="shared" si="2"/>
        <v>0</v>
      </c>
      <c r="H71" s="123" t="e">
        <f t="shared" si="3"/>
        <v>#DIV/0!</v>
      </c>
    </row>
    <row r="72" spans="1:8" x14ac:dyDescent="0.2">
      <c r="A72" s="31" t="s">
        <v>288</v>
      </c>
      <c r="B72" s="32"/>
      <c r="C72" s="33" t="s">
        <v>256</v>
      </c>
      <c r="D72" s="27">
        <v>3575</v>
      </c>
      <c r="E72" s="28">
        <f>'Buget 2024'!D72</f>
        <v>3770</v>
      </c>
      <c r="G72" s="122">
        <f t="shared" si="2"/>
        <v>195</v>
      </c>
      <c r="H72" s="123">
        <f t="shared" si="3"/>
        <v>5.4545454545454541</v>
      </c>
    </row>
    <row r="73" spans="1:8" hidden="1" x14ac:dyDescent="0.2">
      <c r="A73" s="31" t="s">
        <v>289</v>
      </c>
      <c r="B73" s="32"/>
      <c r="C73" s="33" t="s">
        <v>185</v>
      </c>
      <c r="D73" s="27"/>
      <c r="E73" s="28">
        <f>'Buget 2024'!D73</f>
        <v>0</v>
      </c>
      <c r="G73" s="122">
        <f t="shared" si="2"/>
        <v>0</v>
      </c>
      <c r="H73" s="123" t="e">
        <f t="shared" si="3"/>
        <v>#DIV/0!</v>
      </c>
    </row>
    <row r="74" spans="1:8" x14ac:dyDescent="0.2">
      <c r="A74" s="30" t="s">
        <v>24</v>
      </c>
      <c r="B74" s="22"/>
      <c r="C74" s="23" t="s">
        <v>25</v>
      </c>
      <c r="D74" s="24">
        <f>SUM(D75:D77)</f>
        <v>10</v>
      </c>
      <c r="E74" s="24">
        <f t="shared" ref="E74" si="19">SUM(E75:E77)</f>
        <v>69</v>
      </c>
      <c r="G74" s="122">
        <f t="shared" si="2"/>
        <v>59</v>
      </c>
      <c r="H74" s="123">
        <f t="shared" si="3"/>
        <v>590</v>
      </c>
    </row>
    <row r="75" spans="1:8" hidden="1" x14ac:dyDescent="0.2">
      <c r="A75" s="31" t="s">
        <v>280</v>
      </c>
      <c r="B75" s="32"/>
      <c r="C75" s="33" t="s">
        <v>20</v>
      </c>
      <c r="D75" s="27"/>
      <c r="E75" s="28">
        <f>'Buget 2024'!D75</f>
        <v>0</v>
      </c>
      <c r="G75" s="122">
        <f t="shared" si="2"/>
        <v>0</v>
      </c>
      <c r="H75" s="123" t="e">
        <f t="shared" si="3"/>
        <v>#DIV/0!</v>
      </c>
    </row>
    <row r="76" spans="1:8" x14ac:dyDescent="0.2">
      <c r="A76" s="31" t="s">
        <v>281</v>
      </c>
      <c r="B76" s="32"/>
      <c r="C76" s="33" t="s">
        <v>256</v>
      </c>
      <c r="D76" s="27">
        <v>10</v>
      </c>
      <c r="E76" s="28">
        <f>'Buget 2024'!D76</f>
        <v>69</v>
      </c>
      <c r="G76" s="122">
        <f t="shared" si="2"/>
        <v>59</v>
      </c>
      <c r="H76" s="123">
        <f t="shared" si="3"/>
        <v>590</v>
      </c>
    </row>
    <row r="77" spans="1:8" hidden="1" x14ac:dyDescent="0.2">
      <c r="A77" s="31" t="s">
        <v>26</v>
      </c>
      <c r="B77" s="32"/>
      <c r="C77" s="33" t="s">
        <v>185</v>
      </c>
      <c r="D77" s="27"/>
      <c r="E77" s="28">
        <f>'Buget 2024'!D77</f>
        <v>0</v>
      </c>
      <c r="G77" s="122">
        <f t="shared" si="2"/>
        <v>0</v>
      </c>
      <c r="H77" s="123" t="e">
        <f t="shared" si="3"/>
        <v>#DIV/0!</v>
      </c>
    </row>
    <row r="78" spans="1:8" x14ac:dyDescent="0.2">
      <c r="A78" s="46" t="s">
        <v>298</v>
      </c>
      <c r="B78" s="47"/>
      <c r="C78" s="48" t="s">
        <v>291</v>
      </c>
      <c r="D78" s="24">
        <f>SUM(D79)</f>
        <v>0</v>
      </c>
      <c r="E78" s="24">
        <f t="shared" ref="E78" si="20">SUM(E79)</f>
        <v>183</v>
      </c>
      <c r="G78" s="122">
        <f t="shared" si="2"/>
        <v>183</v>
      </c>
      <c r="H78" s="123" t="e">
        <f t="shared" si="3"/>
        <v>#DIV/0!</v>
      </c>
    </row>
    <row r="79" spans="1:8" x14ac:dyDescent="0.2">
      <c r="A79" s="49" t="s">
        <v>299</v>
      </c>
      <c r="B79" s="50"/>
      <c r="C79" s="51" t="s">
        <v>185</v>
      </c>
      <c r="D79" s="27"/>
      <c r="E79" s="28">
        <f>'Buget 2024'!D79</f>
        <v>183</v>
      </c>
      <c r="G79" s="122">
        <f t="shared" si="2"/>
        <v>183</v>
      </c>
      <c r="H79" s="123" t="e">
        <f t="shared" si="3"/>
        <v>#DIV/0!</v>
      </c>
    </row>
    <row r="80" spans="1:8" hidden="1" x14ac:dyDescent="0.2">
      <c r="A80" s="30" t="s">
        <v>329</v>
      </c>
      <c r="B80" s="22"/>
      <c r="C80" s="23" t="s">
        <v>325</v>
      </c>
      <c r="D80" s="24">
        <f>D81</f>
        <v>0</v>
      </c>
      <c r="E80" s="24">
        <f t="shared" ref="E80" si="21">E81</f>
        <v>0</v>
      </c>
      <c r="G80" s="122">
        <f t="shared" si="2"/>
        <v>0</v>
      </c>
      <c r="H80" s="123" t="e">
        <f t="shared" si="3"/>
        <v>#DIV/0!</v>
      </c>
    </row>
    <row r="81" spans="1:9" hidden="1" x14ac:dyDescent="0.2">
      <c r="A81" s="31" t="s">
        <v>330</v>
      </c>
      <c r="B81" s="32"/>
      <c r="C81" s="33" t="s">
        <v>185</v>
      </c>
      <c r="D81" s="27"/>
      <c r="E81" s="28">
        <f>'Buget 2024'!D81</f>
        <v>0</v>
      </c>
      <c r="G81" s="122">
        <f t="shared" si="2"/>
        <v>0</v>
      </c>
      <c r="H81" s="123" t="e">
        <f t="shared" si="3"/>
        <v>#DIV/0!</v>
      </c>
    </row>
    <row r="82" spans="1:9" x14ac:dyDescent="0.2">
      <c r="A82" s="30" t="s">
        <v>27</v>
      </c>
      <c r="B82" s="22"/>
      <c r="C82" s="23" t="s">
        <v>186</v>
      </c>
      <c r="D82" s="24">
        <f>SUM(D83:D85)</f>
        <v>0</v>
      </c>
      <c r="E82" s="24">
        <f t="shared" ref="E82" si="22">SUM(E83:E85)</f>
        <v>5762</v>
      </c>
      <c r="G82" s="122">
        <f t="shared" si="2"/>
        <v>5762</v>
      </c>
      <c r="H82" s="123" t="e">
        <f t="shared" si="3"/>
        <v>#DIV/0!</v>
      </c>
    </row>
    <row r="83" spans="1:9" hidden="1" x14ac:dyDescent="0.2">
      <c r="A83" s="31" t="s">
        <v>282</v>
      </c>
      <c r="B83" s="32"/>
      <c r="C83" s="33" t="s">
        <v>20</v>
      </c>
      <c r="D83" s="27"/>
      <c r="E83" s="28">
        <f>'Buget 2024'!D83</f>
        <v>0</v>
      </c>
      <c r="G83" s="122">
        <f t="shared" si="2"/>
        <v>0</v>
      </c>
      <c r="H83" s="123" t="e">
        <f t="shared" si="3"/>
        <v>#DIV/0!</v>
      </c>
    </row>
    <row r="84" spans="1:9" x14ac:dyDescent="0.2">
      <c r="A84" s="31" t="s">
        <v>290</v>
      </c>
      <c r="B84" s="32"/>
      <c r="C84" s="33" t="s">
        <v>256</v>
      </c>
      <c r="D84" s="27"/>
      <c r="E84" s="28">
        <f>'Buget 2024'!D84</f>
        <v>5762</v>
      </c>
      <c r="G84" s="122">
        <f t="shared" si="2"/>
        <v>5762</v>
      </c>
      <c r="H84" s="123" t="e">
        <f t="shared" si="3"/>
        <v>#DIV/0!</v>
      </c>
    </row>
    <row r="85" spans="1:9" hidden="1" x14ac:dyDescent="0.2">
      <c r="A85" s="31" t="s">
        <v>28</v>
      </c>
      <c r="B85" s="32"/>
      <c r="C85" s="33" t="s">
        <v>185</v>
      </c>
      <c r="D85" s="27"/>
      <c r="E85" s="28">
        <f>'Buget 2024'!D85</f>
        <v>0</v>
      </c>
      <c r="G85" s="122">
        <f t="shared" si="2"/>
        <v>0</v>
      </c>
      <c r="H85" s="123" t="e">
        <f t="shared" si="3"/>
        <v>#DIV/0!</v>
      </c>
    </row>
    <row r="86" spans="1:9" x14ac:dyDescent="0.2">
      <c r="A86" s="18"/>
      <c r="B86" s="18"/>
      <c r="C86" s="19" t="s">
        <v>30</v>
      </c>
      <c r="D86" s="20"/>
      <c r="E86" s="20"/>
      <c r="G86" s="122">
        <f t="shared" ref="G86:G149" si="23">E86-D86</f>
        <v>0</v>
      </c>
      <c r="H86" s="123" t="e">
        <f t="shared" ref="H86:H149" si="24">G86/D86*100</f>
        <v>#DIV/0!</v>
      </c>
    </row>
    <row r="87" spans="1:9" x14ac:dyDescent="0.2">
      <c r="A87" s="18"/>
      <c r="B87" s="18" t="s">
        <v>189</v>
      </c>
      <c r="C87" s="19" t="s">
        <v>190</v>
      </c>
      <c r="D87" s="20">
        <f>D90+D117</f>
        <v>1322869</v>
      </c>
      <c r="E87" s="20">
        <f t="shared" ref="E87:E88" si="25">E90+E117</f>
        <v>3481376</v>
      </c>
      <c r="G87" s="122">
        <f t="shared" si="23"/>
        <v>2158507</v>
      </c>
      <c r="H87" s="123">
        <f t="shared" si="24"/>
        <v>163.16861306750707</v>
      </c>
      <c r="I87" s="118">
        <f>3987964-3551938</f>
        <v>436026</v>
      </c>
    </row>
    <row r="88" spans="1:9" x14ac:dyDescent="0.2">
      <c r="A88" s="18"/>
      <c r="B88" s="18" t="s">
        <v>191</v>
      </c>
      <c r="C88" s="19" t="s">
        <v>192</v>
      </c>
      <c r="D88" s="20">
        <f>D91+D118</f>
        <v>1387660</v>
      </c>
      <c r="E88" s="20">
        <f t="shared" si="25"/>
        <v>3544507</v>
      </c>
      <c r="G88" s="122">
        <f t="shared" si="23"/>
        <v>2156847</v>
      </c>
      <c r="H88" s="123">
        <f t="shared" si="24"/>
        <v>155.43050891428734</v>
      </c>
      <c r="I88" s="118">
        <f>I87-D87</f>
        <v>-886843</v>
      </c>
    </row>
    <row r="89" spans="1:9" ht="13.5" x14ac:dyDescent="0.2">
      <c r="A89" s="22"/>
      <c r="B89" s="22" t="s">
        <v>31</v>
      </c>
      <c r="C89" s="52" t="s">
        <v>32</v>
      </c>
      <c r="D89" s="24"/>
      <c r="E89" s="24"/>
      <c r="G89" s="122">
        <f t="shared" si="23"/>
        <v>0</v>
      </c>
      <c r="H89" s="123" t="e">
        <f t="shared" si="24"/>
        <v>#DIV/0!</v>
      </c>
    </row>
    <row r="90" spans="1:9" x14ac:dyDescent="0.2">
      <c r="A90" s="22"/>
      <c r="B90" s="22" t="s">
        <v>189</v>
      </c>
      <c r="C90" s="53" t="s">
        <v>190</v>
      </c>
      <c r="D90" s="24">
        <f>D93+D96+D99+D102+D105+D108+D111+D114+D635</f>
        <v>1197797</v>
      </c>
      <c r="E90" s="24">
        <f t="shared" ref="E90:E91" si="26">E93+E96+E99+E102+E105+E108+E111+E114</f>
        <v>2771264</v>
      </c>
      <c r="G90" s="122">
        <f t="shared" si="23"/>
        <v>1573467</v>
      </c>
      <c r="H90" s="123">
        <f t="shared" si="24"/>
        <v>131.36341132929869</v>
      </c>
    </row>
    <row r="91" spans="1:9" x14ac:dyDescent="0.2">
      <c r="A91" s="22"/>
      <c r="B91" s="22" t="s">
        <v>191</v>
      </c>
      <c r="C91" s="53" t="s">
        <v>192</v>
      </c>
      <c r="D91" s="24">
        <f>D94+D97+D100+D103+D106+D109+D112+D115+D635</f>
        <v>1267351</v>
      </c>
      <c r="E91" s="24">
        <f t="shared" si="26"/>
        <v>3138285</v>
      </c>
      <c r="G91" s="122">
        <f t="shared" si="23"/>
        <v>1870934</v>
      </c>
      <c r="H91" s="123">
        <f t="shared" si="24"/>
        <v>147.62555913870742</v>
      </c>
    </row>
    <row r="92" spans="1:9" x14ac:dyDescent="0.2">
      <c r="A92" s="22"/>
      <c r="B92" s="22">
        <v>10</v>
      </c>
      <c r="C92" s="23" t="s">
        <v>33</v>
      </c>
      <c r="D92" s="24"/>
      <c r="E92" s="24"/>
      <c r="G92" s="122">
        <f t="shared" si="23"/>
        <v>0</v>
      </c>
      <c r="H92" s="123" t="e">
        <f t="shared" si="24"/>
        <v>#DIV/0!</v>
      </c>
    </row>
    <row r="93" spans="1:9" x14ac:dyDescent="0.2">
      <c r="A93" s="22"/>
      <c r="B93" s="22" t="s">
        <v>189</v>
      </c>
      <c r="C93" s="53" t="s">
        <v>190</v>
      </c>
      <c r="D93" s="24">
        <f t="shared" ref="D93:E94" si="27">D132</f>
        <v>719720</v>
      </c>
      <c r="E93" s="24">
        <f t="shared" si="27"/>
        <v>947945</v>
      </c>
      <c r="G93" s="122">
        <f t="shared" si="23"/>
        <v>228225</v>
      </c>
      <c r="H93" s="123">
        <f t="shared" si="24"/>
        <v>31.710248429944976</v>
      </c>
    </row>
    <row r="94" spans="1:9" x14ac:dyDescent="0.2">
      <c r="A94" s="22"/>
      <c r="B94" s="22" t="s">
        <v>191</v>
      </c>
      <c r="C94" s="53" t="s">
        <v>192</v>
      </c>
      <c r="D94" s="24">
        <f t="shared" si="27"/>
        <v>520765</v>
      </c>
      <c r="E94" s="24">
        <f t="shared" si="27"/>
        <v>947945</v>
      </c>
      <c r="G94" s="122">
        <f t="shared" si="23"/>
        <v>427180</v>
      </c>
      <c r="H94" s="123">
        <f t="shared" si="24"/>
        <v>82.029322247078824</v>
      </c>
    </row>
    <row r="95" spans="1:9" x14ac:dyDescent="0.2">
      <c r="A95" s="22"/>
      <c r="B95" s="22">
        <v>20</v>
      </c>
      <c r="C95" s="23" t="s">
        <v>193</v>
      </c>
      <c r="D95" s="24"/>
      <c r="E95" s="24"/>
      <c r="G95" s="122">
        <f t="shared" si="23"/>
        <v>0</v>
      </c>
      <c r="H95" s="123" t="e">
        <f t="shared" si="24"/>
        <v>#DIV/0!</v>
      </c>
    </row>
    <row r="96" spans="1:9" x14ac:dyDescent="0.2">
      <c r="A96" s="22"/>
      <c r="B96" s="22" t="s">
        <v>189</v>
      </c>
      <c r="C96" s="53" t="s">
        <v>190</v>
      </c>
      <c r="D96" s="24">
        <f>D201+D492+D594</f>
        <v>279929</v>
      </c>
      <c r="E96" s="24">
        <f>E201+E492+E594</f>
        <v>644994</v>
      </c>
      <c r="G96" s="122">
        <f t="shared" si="23"/>
        <v>365065</v>
      </c>
      <c r="H96" s="123">
        <f t="shared" si="24"/>
        <v>130.41342626165923</v>
      </c>
    </row>
    <row r="97" spans="1:8" x14ac:dyDescent="0.2">
      <c r="A97" s="22"/>
      <c r="B97" s="22" t="s">
        <v>191</v>
      </c>
      <c r="C97" s="53" t="s">
        <v>192</v>
      </c>
      <c r="D97" s="24">
        <f>D202+D493+D595</f>
        <v>228987</v>
      </c>
      <c r="E97" s="24">
        <f>E202+E493+E595</f>
        <v>644994</v>
      </c>
      <c r="G97" s="122">
        <f t="shared" si="23"/>
        <v>416007</v>
      </c>
      <c r="H97" s="123">
        <f t="shared" si="24"/>
        <v>181.67275871556029</v>
      </c>
    </row>
    <row r="98" spans="1:8" ht="25.5" x14ac:dyDescent="0.2">
      <c r="A98" s="22"/>
      <c r="B98" s="22">
        <v>56</v>
      </c>
      <c r="C98" s="23" t="s">
        <v>194</v>
      </c>
      <c r="D98" s="24"/>
      <c r="E98" s="24"/>
      <c r="G98" s="122">
        <f t="shared" si="23"/>
        <v>0</v>
      </c>
      <c r="H98" s="123" t="e">
        <f t="shared" si="24"/>
        <v>#DIV/0!</v>
      </c>
    </row>
    <row r="99" spans="1:8" x14ac:dyDescent="0.2">
      <c r="A99" s="22"/>
      <c r="B99" s="22" t="s">
        <v>189</v>
      </c>
      <c r="C99" s="53" t="s">
        <v>190</v>
      </c>
      <c r="D99" s="24">
        <f>D336+D618+D501</f>
        <v>11692</v>
      </c>
      <c r="E99" s="24">
        <f>E336+E618+E501</f>
        <v>256824</v>
      </c>
      <c r="G99" s="122">
        <f t="shared" si="23"/>
        <v>245132</v>
      </c>
      <c r="H99" s="123">
        <f t="shared" si="24"/>
        <v>2096.5788573383511</v>
      </c>
    </row>
    <row r="100" spans="1:8" x14ac:dyDescent="0.2">
      <c r="A100" s="22"/>
      <c r="B100" s="22" t="s">
        <v>191</v>
      </c>
      <c r="C100" s="53" t="s">
        <v>192</v>
      </c>
      <c r="D100" s="24">
        <f>D337+D619+D502</f>
        <v>359365</v>
      </c>
      <c r="E100" s="24">
        <f>E337+E619+E502</f>
        <v>730820</v>
      </c>
      <c r="G100" s="122">
        <f t="shared" si="23"/>
        <v>371455</v>
      </c>
      <c r="H100" s="123">
        <f t="shared" si="24"/>
        <v>103.36426752744423</v>
      </c>
    </row>
    <row r="101" spans="1:8" hidden="1" x14ac:dyDescent="0.2">
      <c r="A101" s="22"/>
      <c r="B101" s="22">
        <v>57</v>
      </c>
      <c r="C101" s="23" t="s">
        <v>266</v>
      </c>
      <c r="D101" s="24"/>
      <c r="E101" s="24"/>
      <c r="G101" s="122">
        <f t="shared" si="23"/>
        <v>0</v>
      </c>
      <c r="H101" s="123" t="e">
        <f t="shared" si="24"/>
        <v>#DIV/0!</v>
      </c>
    </row>
    <row r="102" spans="1:8" hidden="1" x14ac:dyDescent="0.2">
      <c r="A102" s="22"/>
      <c r="B102" s="22" t="s">
        <v>189</v>
      </c>
      <c r="C102" s="53" t="s">
        <v>190</v>
      </c>
      <c r="D102" s="24">
        <f>D363</f>
        <v>0</v>
      </c>
      <c r="E102" s="24">
        <f t="shared" ref="E102:E103" si="28">E363</f>
        <v>0</v>
      </c>
      <c r="G102" s="122">
        <f t="shared" si="23"/>
        <v>0</v>
      </c>
      <c r="H102" s="123" t="e">
        <f t="shared" si="24"/>
        <v>#DIV/0!</v>
      </c>
    </row>
    <row r="103" spans="1:8" hidden="1" x14ac:dyDescent="0.2">
      <c r="A103" s="22"/>
      <c r="B103" s="22" t="s">
        <v>191</v>
      </c>
      <c r="C103" s="53" t="s">
        <v>192</v>
      </c>
      <c r="D103" s="24">
        <f>D364</f>
        <v>0</v>
      </c>
      <c r="E103" s="24">
        <f t="shared" si="28"/>
        <v>0</v>
      </c>
      <c r="G103" s="122">
        <f t="shared" si="23"/>
        <v>0</v>
      </c>
      <c r="H103" s="123" t="e">
        <f t="shared" si="24"/>
        <v>#DIV/0!</v>
      </c>
    </row>
    <row r="104" spans="1:8" ht="38.25" x14ac:dyDescent="0.2">
      <c r="A104" s="22"/>
      <c r="B104" s="22" t="s">
        <v>34</v>
      </c>
      <c r="C104" s="23" t="s">
        <v>195</v>
      </c>
      <c r="D104" s="24"/>
      <c r="E104" s="24"/>
      <c r="G104" s="122">
        <f t="shared" si="23"/>
        <v>0</v>
      </c>
      <c r="H104" s="123" t="e">
        <f t="shared" si="24"/>
        <v>#DIV/0!</v>
      </c>
    </row>
    <row r="105" spans="1:8" x14ac:dyDescent="0.2">
      <c r="A105" s="22"/>
      <c r="B105" s="22" t="s">
        <v>189</v>
      </c>
      <c r="C105" s="53" t="s">
        <v>190</v>
      </c>
      <c r="D105" s="24">
        <f>D372+D528+D627</f>
        <v>91326</v>
      </c>
      <c r="E105" s="24">
        <f>E372+E528+E627</f>
        <v>151687</v>
      </c>
      <c r="G105" s="122">
        <f t="shared" si="23"/>
        <v>60361</v>
      </c>
      <c r="H105" s="123">
        <f t="shared" si="24"/>
        <v>66.093992948338922</v>
      </c>
    </row>
    <row r="106" spans="1:8" x14ac:dyDescent="0.2">
      <c r="A106" s="22"/>
      <c r="B106" s="22" t="s">
        <v>191</v>
      </c>
      <c r="C106" s="53" t="s">
        <v>192</v>
      </c>
      <c r="D106" s="24">
        <f>D373+D529+D628</f>
        <v>64820</v>
      </c>
      <c r="E106" s="24">
        <f>E373+E529+E628</f>
        <v>208604</v>
      </c>
      <c r="G106" s="122">
        <f t="shared" si="23"/>
        <v>143784</v>
      </c>
      <c r="H106" s="123">
        <f t="shared" si="24"/>
        <v>221.82042579450786</v>
      </c>
    </row>
    <row r="107" spans="1:8" x14ac:dyDescent="0.2">
      <c r="A107" s="22"/>
      <c r="B107" s="22" t="s">
        <v>35</v>
      </c>
      <c r="C107" s="23" t="s">
        <v>36</v>
      </c>
      <c r="D107" s="24"/>
      <c r="E107" s="24"/>
      <c r="G107" s="122">
        <f t="shared" si="23"/>
        <v>0</v>
      </c>
      <c r="H107" s="123" t="e">
        <f t="shared" si="24"/>
        <v>#DIV/0!</v>
      </c>
    </row>
    <row r="108" spans="1:8" x14ac:dyDescent="0.2">
      <c r="A108" s="22"/>
      <c r="B108" s="22" t="s">
        <v>189</v>
      </c>
      <c r="C108" s="53" t="s">
        <v>190</v>
      </c>
      <c r="D108" s="24">
        <f t="shared" ref="D108:E109" si="29">D438</f>
        <v>6787</v>
      </c>
      <c r="E108" s="24">
        <f t="shared" si="29"/>
        <v>47064</v>
      </c>
      <c r="G108" s="122">
        <f t="shared" si="23"/>
        <v>40277</v>
      </c>
      <c r="H108" s="123">
        <f t="shared" si="24"/>
        <v>593.4433475762487</v>
      </c>
    </row>
    <row r="109" spans="1:8" x14ac:dyDescent="0.2">
      <c r="A109" s="22"/>
      <c r="B109" s="22" t="s">
        <v>191</v>
      </c>
      <c r="C109" s="53" t="s">
        <v>192</v>
      </c>
      <c r="D109" s="24">
        <f t="shared" si="29"/>
        <v>5233</v>
      </c>
      <c r="E109" s="24">
        <f t="shared" si="29"/>
        <v>47064</v>
      </c>
      <c r="G109" s="122">
        <f t="shared" si="23"/>
        <v>41831</v>
      </c>
      <c r="H109" s="123">
        <f t="shared" si="24"/>
        <v>799.36938658513282</v>
      </c>
    </row>
    <row r="110" spans="1:8" ht="25.5" x14ac:dyDescent="0.2">
      <c r="A110" s="22"/>
      <c r="B110" s="22">
        <v>61</v>
      </c>
      <c r="C110" s="23" t="s">
        <v>314</v>
      </c>
      <c r="D110" s="24"/>
      <c r="E110" s="24"/>
      <c r="G110" s="122">
        <f t="shared" si="23"/>
        <v>0</v>
      </c>
      <c r="H110" s="123" t="e">
        <f t="shared" si="24"/>
        <v>#DIV/0!</v>
      </c>
    </row>
    <row r="111" spans="1:8" x14ac:dyDescent="0.2">
      <c r="A111" s="22"/>
      <c r="B111" s="22" t="s">
        <v>189</v>
      </c>
      <c r="C111" s="53" t="s">
        <v>190</v>
      </c>
      <c r="D111" s="24">
        <f>D552</f>
        <v>89129</v>
      </c>
      <c r="E111" s="24">
        <f t="shared" ref="E111:E112" si="30">E552</f>
        <v>628500</v>
      </c>
      <c r="G111" s="122">
        <f t="shared" si="23"/>
        <v>539371</v>
      </c>
      <c r="H111" s="123">
        <f t="shared" si="24"/>
        <v>605.15769278237167</v>
      </c>
    </row>
    <row r="112" spans="1:8" x14ac:dyDescent="0.2">
      <c r="A112" s="22"/>
      <c r="B112" s="22" t="s">
        <v>191</v>
      </c>
      <c r="C112" s="53" t="s">
        <v>192</v>
      </c>
      <c r="D112" s="24">
        <f>D553</f>
        <v>35322</v>
      </c>
      <c r="E112" s="24">
        <f t="shared" si="30"/>
        <v>473858</v>
      </c>
      <c r="G112" s="122">
        <f t="shared" si="23"/>
        <v>438536</v>
      </c>
      <c r="H112" s="123">
        <f t="shared" si="24"/>
        <v>1241.5378517637732</v>
      </c>
    </row>
    <row r="113" spans="1:8" ht="25.5" x14ac:dyDescent="0.2">
      <c r="A113" s="54"/>
      <c r="B113" s="54">
        <v>65</v>
      </c>
      <c r="C113" s="23" t="s">
        <v>196</v>
      </c>
      <c r="D113" s="24"/>
      <c r="E113" s="24"/>
      <c r="G113" s="122">
        <f t="shared" si="23"/>
        <v>0</v>
      </c>
      <c r="H113" s="123" t="e">
        <f t="shared" si="24"/>
        <v>#DIV/0!</v>
      </c>
    </row>
    <row r="114" spans="1:8" x14ac:dyDescent="0.2">
      <c r="A114" s="54"/>
      <c r="B114" s="22" t="s">
        <v>189</v>
      </c>
      <c r="C114" s="53" t="s">
        <v>190</v>
      </c>
      <c r="D114" s="24">
        <f>D564</f>
        <v>5064</v>
      </c>
      <c r="E114" s="24">
        <f t="shared" ref="E114:E115" si="31">E564</f>
        <v>94250</v>
      </c>
      <c r="G114" s="122">
        <f t="shared" si="23"/>
        <v>89186</v>
      </c>
      <c r="H114" s="123">
        <f t="shared" si="24"/>
        <v>1761.176935229068</v>
      </c>
    </row>
    <row r="115" spans="1:8" x14ac:dyDescent="0.2">
      <c r="A115" s="54"/>
      <c r="B115" s="22" t="s">
        <v>191</v>
      </c>
      <c r="C115" s="53" t="s">
        <v>192</v>
      </c>
      <c r="D115" s="24">
        <f>D565</f>
        <v>58709</v>
      </c>
      <c r="E115" s="24">
        <f t="shared" si="31"/>
        <v>85000</v>
      </c>
      <c r="G115" s="122">
        <f t="shared" si="23"/>
        <v>26291</v>
      </c>
      <c r="H115" s="123">
        <f t="shared" si="24"/>
        <v>44.781890340492943</v>
      </c>
    </row>
    <row r="116" spans="1:8" x14ac:dyDescent="0.2">
      <c r="A116" s="22"/>
      <c r="B116" s="22">
        <v>70</v>
      </c>
      <c r="C116" s="53" t="s">
        <v>37</v>
      </c>
      <c r="D116" s="24"/>
      <c r="E116" s="24"/>
      <c r="G116" s="122">
        <f t="shared" si="23"/>
        <v>0</v>
      </c>
      <c r="H116" s="123" t="e">
        <f t="shared" si="24"/>
        <v>#DIV/0!</v>
      </c>
    </row>
    <row r="117" spans="1:8" x14ac:dyDescent="0.2">
      <c r="A117" s="22"/>
      <c r="B117" s="22" t="s">
        <v>189</v>
      </c>
      <c r="C117" s="53" t="s">
        <v>190</v>
      </c>
      <c r="D117" s="24">
        <f>D450+D570+D603</f>
        <v>125072</v>
      </c>
      <c r="E117" s="24">
        <f>E450+E570+E603</f>
        <v>710112</v>
      </c>
      <c r="G117" s="122">
        <f t="shared" si="23"/>
        <v>585040</v>
      </c>
      <c r="H117" s="123">
        <f t="shared" si="24"/>
        <v>467.762568760394</v>
      </c>
    </row>
    <row r="118" spans="1:8" x14ac:dyDescent="0.2">
      <c r="A118" s="22"/>
      <c r="B118" s="22" t="s">
        <v>191</v>
      </c>
      <c r="C118" s="53" t="s">
        <v>192</v>
      </c>
      <c r="D118" s="24">
        <f>D451+D571+D604</f>
        <v>120309</v>
      </c>
      <c r="E118" s="24">
        <f>E451+E571+E604</f>
        <v>406222</v>
      </c>
      <c r="G118" s="122">
        <f t="shared" si="23"/>
        <v>285913</v>
      </c>
      <c r="H118" s="123">
        <f t="shared" si="24"/>
        <v>237.64888744815434</v>
      </c>
    </row>
    <row r="119" spans="1:8" x14ac:dyDescent="0.2">
      <c r="A119" s="18"/>
      <c r="B119" s="18"/>
      <c r="C119" s="55" t="s">
        <v>319</v>
      </c>
      <c r="D119" s="20"/>
      <c r="E119" s="20"/>
      <c r="G119" s="122">
        <f t="shared" si="23"/>
        <v>0</v>
      </c>
      <c r="H119" s="123" t="e">
        <f t="shared" si="24"/>
        <v>#DIV/0!</v>
      </c>
    </row>
    <row r="120" spans="1:8" x14ac:dyDescent="0.2">
      <c r="A120" s="18"/>
      <c r="B120" s="18" t="s">
        <v>189</v>
      </c>
      <c r="C120" s="55" t="s">
        <v>190</v>
      </c>
      <c r="D120" s="20">
        <f>D123+D483+D609</f>
        <v>1322869</v>
      </c>
      <c r="E120" s="20">
        <f>E123+E483+E609</f>
        <v>3481376</v>
      </c>
      <c r="G120" s="122">
        <f t="shared" si="23"/>
        <v>2158507</v>
      </c>
      <c r="H120" s="123">
        <f t="shared" si="24"/>
        <v>163.16861306750707</v>
      </c>
    </row>
    <row r="121" spans="1:8" x14ac:dyDescent="0.2">
      <c r="A121" s="18"/>
      <c r="B121" s="18" t="s">
        <v>191</v>
      </c>
      <c r="C121" s="55" t="s">
        <v>192</v>
      </c>
      <c r="D121" s="20">
        <f>D124+D484+D610</f>
        <v>1387660</v>
      </c>
      <c r="E121" s="20">
        <f>E124+E484+E610</f>
        <v>3544507</v>
      </c>
      <c r="G121" s="122">
        <f t="shared" si="23"/>
        <v>2156847</v>
      </c>
      <c r="H121" s="123">
        <f t="shared" si="24"/>
        <v>155.43050891428734</v>
      </c>
    </row>
    <row r="122" spans="1:8" x14ac:dyDescent="0.2">
      <c r="A122" s="22" t="s">
        <v>29</v>
      </c>
      <c r="B122" s="22"/>
      <c r="C122" s="53" t="s">
        <v>38</v>
      </c>
      <c r="D122" s="24"/>
      <c r="E122" s="24"/>
      <c r="G122" s="122">
        <f t="shared" si="23"/>
        <v>0</v>
      </c>
      <c r="H122" s="123" t="e">
        <f t="shared" si="24"/>
        <v>#DIV/0!</v>
      </c>
    </row>
    <row r="123" spans="1:8" x14ac:dyDescent="0.2">
      <c r="A123" s="22"/>
      <c r="B123" s="22" t="s">
        <v>189</v>
      </c>
      <c r="C123" s="53" t="s">
        <v>190</v>
      </c>
      <c r="D123" s="24">
        <f>D126</f>
        <v>1101176</v>
      </c>
      <c r="E123" s="24">
        <f t="shared" ref="E123:E124" si="32">E126</f>
        <v>1844038</v>
      </c>
      <c r="G123" s="122">
        <f t="shared" si="23"/>
        <v>742862</v>
      </c>
      <c r="H123" s="123">
        <f t="shared" si="24"/>
        <v>67.460787376404866</v>
      </c>
    </row>
    <row r="124" spans="1:8" x14ac:dyDescent="0.2">
      <c r="A124" s="22"/>
      <c r="B124" s="22" t="s">
        <v>191</v>
      </c>
      <c r="C124" s="53" t="s">
        <v>192</v>
      </c>
      <c r="D124" s="24">
        <f>D127</f>
        <v>810390</v>
      </c>
      <c r="E124" s="24">
        <f t="shared" si="32"/>
        <v>1812199</v>
      </c>
      <c r="G124" s="122">
        <f t="shared" si="23"/>
        <v>1001809</v>
      </c>
      <c r="H124" s="123">
        <f t="shared" si="24"/>
        <v>123.62060242599242</v>
      </c>
    </row>
    <row r="125" spans="1:8" x14ac:dyDescent="0.2">
      <c r="A125" s="22" t="s">
        <v>29</v>
      </c>
      <c r="B125" s="22" t="s">
        <v>39</v>
      </c>
      <c r="C125" s="53" t="s">
        <v>197</v>
      </c>
      <c r="D125" s="24"/>
      <c r="E125" s="24"/>
      <c r="G125" s="122">
        <f t="shared" si="23"/>
        <v>0</v>
      </c>
      <c r="H125" s="123" t="e">
        <f t="shared" si="24"/>
        <v>#DIV/0!</v>
      </c>
    </row>
    <row r="126" spans="1:8" x14ac:dyDescent="0.2">
      <c r="A126" s="22"/>
      <c r="B126" s="22" t="s">
        <v>189</v>
      </c>
      <c r="C126" s="53" t="s">
        <v>190</v>
      </c>
      <c r="D126" s="24">
        <f>D129+D450</f>
        <v>1101176</v>
      </c>
      <c r="E126" s="24">
        <f>E129+E450</f>
        <v>1844038</v>
      </c>
      <c r="G126" s="122">
        <f t="shared" si="23"/>
        <v>742862</v>
      </c>
      <c r="H126" s="123">
        <f t="shared" si="24"/>
        <v>67.460787376404866</v>
      </c>
    </row>
    <row r="127" spans="1:8" x14ac:dyDescent="0.2">
      <c r="A127" s="22"/>
      <c r="B127" s="22" t="s">
        <v>191</v>
      </c>
      <c r="C127" s="53" t="s">
        <v>192</v>
      </c>
      <c r="D127" s="24">
        <f>D130+D451</f>
        <v>810390</v>
      </c>
      <c r="E127" s="24">
        <f>E130+E451</f>
        <v>1812199</v>
      </c>
      <c r="G127" s="122">
        <f t="shared" si="23"/>
        <v>1001809</v>
      </c>
      <c r="H127" s="123">
        <f t="shared" si="24"/>
        <v>123.62060242599242</v>
      </c>
    </row>
    <row r="128" spans="1:8" x14ac:dyDescent="0.2">
      <c r="A128" s="22" t="s">
        <v>29</v>
      </c>
      <c r="B128" s="22" t="s">
        <v>31</v>
      </c>
      <c r="C128" s="53" t="s">
        <v>32</v>
      </c>
      <c r="D128" s="24"/>
      <c r="E128" s="24"/>
      <c r="G128" s="122">
        <f t="shared" si="23"/>
        <v>0</v>
      </c>
      <c r="H128" s="123" t="e">
        <f t="shared" si="24"/>
        <v>#DIV/0!</v>
      </c>
    </row>
    <row r="129" spans="1:8" x14ac:dyDescent="0.2">
      <c r="A129" s="22"/>
      <c r="B129" s="22" t="s">
        <v>189</v>
      </c>
      <c r="C129" s="53" t="s">
        <v>190</v>
      </c>
      <c r="D129" s="24">
        <f>D132+D201+D336+D363+D372+D438+D635</f>
        <v>1000125</v>
      </c>
      <c r="E129" s="24">
        <f>E132+E201+E336+E363+E372+E438</f>
        <v>1508527</v>
      </c>
      <c r="G129" s="122">
        <f t="shared" si="23"/>
        <v>508402</v>
      </c>
      <c r="H129" s="123">
        <f t="shared" si="24"/>
        <v>50.833845769278838</v>
      </c>
    </row>
    <row r="130" spans="1:8" x14ac:dyDescent="0.2">
      <c r="A130" s="22"/>
      <c r="B130" s="22" t="s">
        <v>191</v>
      </c>
      <c r="C130" s="53" t="s">
        <v>192</v>
      </c>
      <c r="D130" s="24">
        <f>D133+D202+D337+D364+D373+D439+D635</f>
        <v>748743</v>
      </c>
      <c r="E130" s="24">
        <f>E133+E202+E337+E364+E373+E439</f>
        <v>1506147</v>
      </c>
      <c r="G130" s="122">
        <f t="shared" si="23"/>
        <v>757404</v>
      </c>
      <c r="H130" s="123">
        <f t="shared" si="24"/>
        <v>101.15673869405124</v>
      </c>
    </row>
    <row r="131" spans="1:8" x14ac:dyDescent="0.2">
      <c r="A131" s="22" t="s">
        <v>29</v>
      </c>
      <c r="B131" s="22">
        <v>10</v>
      </c>
      <c r="C131" s="53" t="s">
        <v>33</v>
      </c>
      <c r="D131" s="24"/>
      <c r="E131" s="24"/>
      <c r="G131" s="122">
        <f t="shared" si="23"/>
        <v>0</v>
      </c>
      <c r="H131" s="123" t="e">
        <f t="shared" si="24"/>
        <v>#DIV/0!</v>
      </c>
    </row>
    <row r="132" spans="1:8" x14ac:dyDescent="0.2">
      <c r="A132" s="22"/>
      <c r="B132" s="22" t="s">
        <v>189</v>
      </c>
      <c r="C132" s="53" t="s">
        <v>190</v>
      </c>
      <c r="D132" s="24">
        <f>D135+D174+D162</f>
        <v>719720</v>
      </c>
      <c r="E132" s="24">
        <f>E135+E174+E162</f>
        <v>947945</v>
      </c>
      <c r="G132" s="122">
        <f t="shared" si="23"/>
        <v>228225</v>
      </c>
      <c r="H132" s="123">
        <f t="shared" si="24"/>
        <v>31.710248429944976</v>
      </c>
    </row>
    <row r="133" spans="1:8" x14ac:dyDescent="0.2">
      <c r="A133" s="22"/>
      <c r="B133" s="22" t="s">
        <v>191</v>
      </c>
      <c r="C133" s="53" t="s">
        <v>192</v>
      </c>
      <c r="D133" s="24">
        <f>D136+D175+D163</f>
        <v>520765</v>
      </c>
      <c r="E133" s="24">
        <f>E136+E175+E163</f>
        <v>947945</v>
      </c>
      <c r="G133" s="122">
        <f t="shared" si="23"/>
        <v>427180</v>
      </c>
      <c r="H133" s="123">
        <f t="shared" si="24"/>
        <v>82.029322247078824</v>
      </c>
    </row>
    <row r="134" spans="1:8" x14ac:dyDescent="0.2">
      <c r="A134" s="22" t="s">
        <v>29</v>
      </c>
      <c r="B134" s="22" t="s">
        <v>40</v>
      </c>
      <c r="C134" s="53" t="s">
        <v>198</v>
      </c>
      <c r="D134" s="24"/>
      <c r="E134" s="24"/>
      <c r="G134" s="122">
        <f t="shared" si="23"/>
        <v>0</v>
      </c>
      <c r="H134" s="123" t="e">
        <f t="shared" si="24"/>
        <v>#DIV/0!</v>
      </c>
    </row>
    <row r="135" spans="1:8" x14ac:dyDescent="0.2">
      <c r="A135" s="22"/>
      <c r="B135" s="22" t="s">
        <v>189</v>
      </c>
      <c r="C135" s="53" t="s">
        <v>190</v>
      </c>
      <c r="D135" s="24">
        <f>D138+D141+D144+D147+D150+D153+D159+D156</f>
        <v>689484</v>
      </c>
      <c r="E135" s="24">
        <f t="shared" ref="E135:E136" si="33">E138+E141+E144+E147+E150+E153+E159+E156</f>
        <v>910627</v>
      </c>
      <c r="G135" s="122">
        <f t="shared" si="23"/>
        <v>221143</v>
      </c>
      <c r="H135" s="123">
        <f t="shared" si="24"/>
        <v>32.073695691270572</v>
      </c>
    </row>
    <row r="136" spans="1:8" x14ac:dyDescent="0.2">
      <c r="A136" s="22"/>
      <c r="B136" s="22" t="s">
        <v>191</v>
      </c>
      <c r="C136" s="53" t="s">
        <v>192</v>
      </c>
      <c r="D136" s="24">
        <f>D139+D142+D145+D148+D151+D154+D160+D157</f>
        <v>496181</v>
      </c>
      <c r="E136" s="24">
        <f t="shared" si="33"/>
        <v>910627</v>
      </c>
      <c r="G136" s="122">
        <f t="shared" si="23"/>
        <v>414446</v>
      </c>
      <c r="H136" s="123">
        <f t="shared" si="24"/>
        <v>83.527180605464537</v>
      </c>
    </row>
    <row r="137" spans="1:8" x14ac:dyDescent="0.2">
      <c r="A137" s="56" t="s">
        <v>29</v>
      </c>
      <c r="B137" s="56" t="s">
        <v>41</v>
      </c>
      <c r="C137" s="57" t="s">
        <v>199</v>
      </c>
      <c r="D137" s="27"/>
      <c r="E137" s="27"/>
      <c r="G137" s="122">
        <f t="shared" si="23"/>
        <v>0</v>
      </c>
      <c r="H137" s="123" t="e">
        <f t="shared" si="24"/>
        <v>#DIV/0!</v>
      </c>
    </row>
    <row r="138" spans="1:8" x14ac:dyDescent="0.2">
      <c r="A138" s="56"/>
      <c r="B138" s="58" t="s">
        <v>189</v>
      </c>
      <c r="C138" s="59" t="s">
        <v>190</v>
      </c>
      <c r="D138" s="27">
        <f>577357-1</f>
        <v>577356</v>
      </c>
      <c r="E138" s="28">
        <f>'Buget 2024'!D138</f>
        <v>762454</v>
      </c>
      <c r="G138" s="122">
        <f t="shared" si="23"/>
        <v>185098</v>
      </c>
      <c r="H138" s="123">
        <f t="shared" si="24"/>
        <v>32.059595812635536</v>
      </c>
    </row>
    <row r="139" spans="1:8" x14ac:dyDescent="0.2">
      <c r="A139" s="56"/>
      <c r="B139" s="60" t="s">
        <v>191</v>
      </c>
      <c r="C139" s="61" t="s">
        <v>192</v>
      </c>
      <c r="D139" s="27">
        <v>427173</v>
      </c>
      <c r="E139" s="28">
        <f>'Buget 2024'!D139</f>
        <v>762454</v>
      </c>
      <c r="G139" s="122">
        <f t="shared" si="23"/>
        <v>335281</v>
      </c>
      <c r="H139" s="123">
        <f t="shared" si="24"/>
        <v>78.488340789328916</v>
      </c>
    </row>
    <row r="140" spans="1:8" x14ac:dyDescent="0.2">
      <c r="A140" s="56" t="s">
        <v>29</v>
      </c>
      <c r="B140" s="56" t="s">
        <v>300</v>
      </c>
      <c r="C140" s="57" t="s">
        <v>301</v>
      </c>
      <c r="D140" s="28"/>
      <c r="E140" s="27"/>
      <c r="G140" s="122">
        <f t="shared" si="23"/>
        <v>0</v>
      </c>
      <c r="H140" s="123" t="e">
        <f t="shared" si="24"/>
        <v>#DIV/0!</v>
      </c>
    </row>
    <row r="141" spans="1:8" x14ac:dyDescent="0.2">
      <c r="A141" s="56"/>
      <c r="B141" s="58" t="s">
        <v>189</v>
      </c>
      <c r="C141" s="59" t="s">
        <v>190</v>
      </c>
      <c r="D141" s="27">
        <v>61747</v>
      </c>
      <c r="E141" s="28">
        <f>'Buget 2024'!D141</f>
        <v>80913</v>
      </c>
      <c r="G141" s="122">
        <f t="shared" si="23"/>
        <v>19166</v>
      </c>
      <c r="H141" s="123">
        <f t="shared" si="24"/>
        <v>31.039564675206893</v>
      </c>
    </row>
    <row r="142" spans="1:8" x14ac:dyDescent="0.2">
      <c r="A142" s="56"/>
      <c r="B142" s="60" t="s">
        <v>191</v>
      </c>
      <c r="C142" s="61" t="s">
        <v>192</v>
      </c>
      <c r="D142" s="27">
        <f>43657+1</f>
        <v>43658</v>
      </c>
      <c r="E142" s="28">
        <f>'Buget 2024'!D142</f>
        <v>80913</v>
      </c>
      <c r="G142" s="122">
        <f t="shared" si="23"/>
        <v>37255</v>
      </c>
      <c r="H142" s="123">
        <f t="shared" si="24"/>
        <v>85.333730358697153</v>
      </c>
    </row>
    <row r="143" spans="1:8" x14ac:dyDescent="0.2">
      <c r="A143" s="25" t="s">
        <v>29</v>
      </c>
      <c r="B143" s="25" t="s">
        <v>42</v>
      </c>
      <c r="C143" s="62" t="s">
        <v>43</v>
      </c>
      <c r="D143" s="28"/>
      <c r="E143" s="27"/>
      <c r="G143" s="122">
        <f t="shared" si="23"/>
        <v>0</v>
      </c>
      <c r="H143" s="123" t="e">
        <f t="shared" si="24"/>
        <v>#DIV/0!</v>
      </c>
    </row>
    <row r="144" spans="1:8" x14ac:dyDescent="0.2">
      <c r="A144" s="25"/>
      <c r="B144" s="58" t="s">
        <v>189</v>
      </c>
      <c r="C144" s="59" t="s">
        <v>190</v>
      </c>
      <c r="D144" s="27">
        <v>7982</v>
      </c>
      <c r="E144" s="28">
        <f>'Buget 2024'!D144</f>
        <v>10048</v>
      </c>
      <c r="G144" s="122">
        <f t="shared" si="23"/>
        <v>2066</v>
      </c>
      <c r="H144" s="123">
        <f t="shared" si="24"/>
        <v>25.88323728388875</v>
      </c>
    </row>
    <row r="145" spans="1:8" x14ac:dyDescent="0.2">
      <c r="A145" s="25"/>
      <c r="B145" s="60" t="s">
        <v>191</v>
      </c>
      <c r="C145" s="61" t="s">
        <v>192</v>
      </c>
      <c r="D145" s="27">
        <v>5043</v>
      </c>
      <c r="E145" s="28">
        <f>'Buget 2024'!D145</f>
        <v>10048</v>
      </c>
      <c r="G145" s="122">
        <f t="shared" si="23"/>
        <v>5005</v>
      </c>
      <c r="H145" s="123">
        <f t="shared" si="24"/>
        <v>99.246480269680745</v>
      </c>
    </row>
    <row r="146" spans="1:8" x14ac:dyDescent="0.2">
      <c r="A146" s="25" t="s">
        <v>29</v>
      </c>
      <c r="B146" s="25" t="s">
        <v>44</v>
      </c>
      <c r="C146" s="62" t="s">
        <v>200</v>
      </c>
      <c r="D146" s="28"/>
      <c r="E146" s="27"/>
      <c r="G146" s="122">
        <f t="shared" si="23"/>
        <v>0</v>
      </c>
      <c r="H146" s="123" t="e">
        <f t="shared" si="24"/>
        <v>#DIV/0!</v>
      </c>
    </row>
    <row r="147" spans="1:8" x14ac:dyDescent="0.2">
      <c r="A147" s="25"/>
      <c r="B147" s="58" t="s">
        <v>189</v>
      </c>
      <c r="C147" s="59" t="s">
        <v>190</v>
      </c>
      <c r="D147" s="27">
        <v>1105</v>
      </c>
      <c r="E147" s="28">
        <f>'Buget 2024'!D147</f>
        <v>1682</v>
      </c>
      <c r="G147" s="122">
        <f t="shared" si="23"/>
        <v>577</v>
      </c>
      <c r="H147" s="123">
        <f t="shared" si="24"/>
        <v>52.217194570135753</v>
      </c>
    </row>
    <row r="148" spans="1:8" x14ac:dyDescent="0.2">
      <c r="A148" s="25"/>
      <c r="B148" s="60" t="s">
        <v>191</v>
      </c>
      <c r="C148" s="61" t="s">
        <v>192</v>
      </c>
      <c r="D148" s="27">
        <v>692</v>
      </c>
      <c r="E148" s="28">
        <f>'Buget 2024'!D148</f>
        <v>1682</v>
      </c>
      <c r="G148" s="122">
        <f t="shared" si="23"/>
        <v>990</v>
      </c>
      <c r="H148" s="123">
        <f t="shared" si="24"/>
        <v>143.06358381502889</v>
      </c>
    </row>
    <row r="149" spans="1:8" x14ac:dyDescent="0.2">
      <c r="A149" s="25" t="s">
        <v>29</v>
      </c>
      <c r="B149" s="25" t="s">
        <v>45</v>
      </c>
      <c r="C149" s="62" t="s">
        <v>263</v>
      </c>
      <c r="D149" s="28"/>
      <c r="E149" s="27"/>
      <c r="G149" s="122">
        <f t="shared" si="23"/>
        <v>0</v>
      </c>
      <c r="H149" s="123" t="e">
        <f t="shared" si="24"/>
        <v>#DIV/0!</v>
      </c>
    </row>
    <row r="150" spans="1:8" x14ac:dyDescent="0.2">
      <c r="A150" s="25"/>
      <c r="B150" s="58" t="s">
        <v>189</v>
      </c>
      <c r="C150" s="59" t="s">
        <v>190</v>
      </c>
      <c r="D150" s="27">
        <v>895</v>
      </c>
      <c r="E150" s="28">
        <f>'Buget 2024'!D150</f>
        <v>1584</v>
      </c>
      <c r="G150" s="122">
        <f t="shared" ref="G150:G216" si="34">E150-D150</f>
        <v>689</v>
      </c>
      <c r="H150" s="123">
        <f t="shared" ref="H150:H216" si="35">G150/D150*100</f>
        <v>76.983240223463696</v>
      </c>
    </row>
    <row r="151" spans="1:8" x14ac:dyDescent="0.2">
      <c r="A151" s="25"/>
      <c r="B151" s="60" t="s">
        <v>191</v>
      </c>
      <c r="C151" s="61" t="s">
        <v>192</v>
      </c>
      <c r="D151" s="27">
        <v>502</v>
      </c>
      <c r="E151" s="28">
        <f>'Buget 2024'!D151</f>
        <v>1584</v>
      </c>
      <c r="G151" s="122">
        <f t="shared" si="34"/>
        <v>1082</v>
      </c>
      <c r="H151" s="123">
        <f t="shared" si="35"/>
        <v>215.53784860557766</v>
      </c>
    </row>
    <row r="152" spans="1:8" hidden="1" x14ac:dyDescent="0.2">
      <c r="A152" s="25" t="s">
        <v>29</v>
      </c>
      <c r="B152" s="25" t="s">
        <v>46</v>
      </c>
      <c r="C152" s="62" t="s">
        <v>201</v>
      </c>
      <c r="D152" s="28"/>
      <c r="E152" s="27"/>
      <c r="G152" s="122">
        <f t="shared" si="34"/>
        <v>0</v>
      </c>
      <c r="H152" s="123" t="e">
        <f t="shared" si="35"/>
        <v>#DIV/0!</v>
      </c>
    </row>
    <row r="153" spans="1:8" hidden="1" x14ac:dyDescent="0.2">
      <c r="A153" s="25"/>
      <c r="B153" s="58" t="s">
        <v>189</v>
      </c>
      <c r="C153" s="59" t="s">
        <v>190</v>
      </c>
      <c r="D153" s="27"/>
      <c r="E153" s="28">
        <f>'Buget 2024'!D153</f>
        <v>0</v>
      </c>
      <c r="G153" s="122">
        <f t="shared" si="34"/>
        <v>0</v>
      </c>
      <c r="H153" s="123" t="e">
        <f t="shared" si="35"/>
        <v>#DIV/0!</v>
      </c>
    </row>
    <row r="154" spans="1:8" hidden="1" x14ac:dyDescent="0.2">
      <c r="A154" s="25"/>
      <c r="B154" s="60" t="s">
        <v>191</v>
      </c>
      <c r="C154" s="61" t="s">
        <v>192</v>
      </c>
      <c r="D154" s="27"/>
      <c r="E154" s="28">
        <f>'Buget 2024'!D154</f>
        <v>0</v>
      </c>
      <c r="G154" s="122">
        <f t="shared" si="34"/>
        <v>0</v>
      </c>
      <c r="H154" s="123" t="e">
        <f t="shared" si="35"/>
        <v>#DIV/0!</v>
      </c>
    </row>
    <row r="155" spans="1:8" x14ac:dyDescent="0.2">
      <c r="A155" s="25" t="s">
        <v>29</v>
      </c>
      <c r="B155" s="25" t="s">
        <v>264</v>
      </c>
      <c r="C155" s="62" t="s">
        <v>265</v>
      </c>
      <c r="D155" s="28"/>
      <c r="E155" s="27"/>
      <c r="G155" s="122">
        <f t="shared" si="34"/>
        <v>0</v>
      </c>
      <c r="H155" s="123" t="e">
        <f t="shared" si="35"/>
        <v>#DIV/0!</v>
      </c>
    </row>
    <row r="156" spans="1:8" x14ac:dyDescent="0.2">
      <c r="A156" s="25"/>
      <c r="B156" s="58" t="s">
        <v>189</v>
      </c>
      <c r="C156" s="59" t="s">
        <v>190</v>
      </c>
      <c r="D156" s="27">
        <v>23394</v>
      </c>
      <c r="E156" s="28">
        <f>'Buget 2024'!D156</f>
        <v>30173</v>
      </c>
      <c r="G156" s="122">
        <f t="shared" si="34"/>
        <v>6779</v>
      </c>
      <c r="H156" s="123">
        <f t="shared" si="35"/>
        <v>28.977515602291188</v>
      </c>
    </row>
    <row r="157" spans="1:8" x14ac:dyDescent="0.2">
      <c r="A157" s="25"/>
      <c r="B157" s="60" t="s">
        <v>191</v>
      </c>
      <c r="C157" s="61" t="s">
        <v>192</v>
      </c>
      <c r="D157" s="27">
        <v>16323</v>
      </c>
      <c r="E157" s="28">
        <f>'Buget 2024'!D157</f>
        <v>30173</v>
      </c>
      <c r="G157" s="122">
        <f t="shared" si="34"/>
        <v>13850</v>
      </c>
      <c r="H157" s="123">
        <f t="shared" si="35"/>
        <v>84.849598725724434</v>
      </c>
    </row>
    <row r="158" spans="1:8" x14ac:dyDescent="0.2">
      <c r="A158" s="25" t="s">
        <v>29</v>
      </c>
      <c r="B158" s="25" t="s">
        <v>47</v>
      </c>
      <c r="C158" s="62" t="s">
        <v>202</v>
      </c>
      <c r="D158" s="28"/>
      <c r="E158" s="27"/>
      <c r="G158" s="122">
        <f t="shared" si="34"/>
        <v>0</v>
      </c>
      <c r="H158" s="123" t="e">
        <f t="shared" si="35"/>
        <v>#DIV/0!</v>
      </c>
    </row>
    <row r="159" spans="1:8" x14ac:dyDescent="0.2">
      <c r="A159" s="25"/>
      <c r="B159" s="58" t="s">
        <v>189</v>
      </c>
      <c r="C159" s="59" t="s">
        <v>190</v>
      </c>
      <c r="D159" s="27">
        <v>17005</v>
      </c>
      <c r="E159" s="28">
        <f>'Buget 2024'!D159</f>
        <v>23773</v>
      </c>
      <c r="G159" s="122">
        <f t="shared" si="34"/>
        <v>6768</v>
      </c>
      <c r="H159" s="123">
        <f t="shared" si="35"/>
        <v>39.800058806233466</v>
      </c>
    </row>
    <row r="160" spans="1:8" x14ac:dyDescent="0.2">
      <c r="A160" s="25"/>
      <c r="B160" s="60" t="s">
        <v>191</v>
      </c>
      <c r="C160" s="61" t="s">
        <v>192</v>
      </c>
      <c r="D160" s="27">
        <v>2790</v>
      </c>
      <c r="E160" s="28">
        <f>'Buget 2024'!D160</f>
        <v>23773</v>
      </c>
      <c r="G160" s="122">
        <f t="shared" si="34"/>
        <v>20983</v>
      </c>
      <c r="H160" s="123">
        <f t="shared" si="35"/>
        <v>752.07885304659499</v>
      </c>
    </row>
    <row r="161" spans="1:8" x14ac:dyDescent="0.2">
      <c r="A161" s="22" t="s">
        <v>29</v>
      </c>
      <c r="B161" s="22" t="s">
        <v>48</v>
      </c>
      <c r="C161" s="63" t="s">
        <v>203</v>
      </c>
      <c r="D161" s="24"/>
      <c r="E161" s="24"/>
      <c r="G161" s="122">
        <f t="shared" si="34"/>
        <v>0</v>
      </c>
      <c r="H161" s="123" t="e">
        <f t="shared" si="35"/>
        <v>#DIV/0!</v>
      </c>
    </row>
    <row r="162" spans="1:8" x14ac:dyDescent="0.2">
      <c r="A162" s="22"/>
      <c r="B162" s="22" t="s">
        <v>189</v>
      </c>
      <c r="C162" s="53" t="s">
        <v>190</v>
      </c>
      <c r="D162" s="24">
        <f>D165+D168+D171</f>
        <v>13713</v>
      </c>
      <c r="E162" s="24">
        <f>E165+E168+E171</f>
        <v>14459</v>
      </c>
      <c r="G162" s="122">
        <f t="shared" si="34"/>
        <v>746</v>
      </c>
      <c r="H162" s="123">
        <f t="shared" si="35"/>
        <v>5.4400933420841531</v>
      </c>
    </row>
    <row r="163" spans="1:8" x14ac:dyDescent="0.2">
      <c r="A163" s="22"/>
      <c r="B163" s="22" t="s">
        <v>191</v>
      </c>
      <c r="C163" s="53" t="s">
        <v>192</v>
      </c>
      <c r="D163" s="24">
        <f>D166+D169+D172</f>
        <v>13331</v>
      </c>
      <c r="E163" s="24">
        <f>E166+E169+E172</f>
        <v>14459</v>
      </c>
      <c r="G163" s="122">
        <f t="shared" si="34"/>
        <v>1128</v>
      </c>
      <c r="H163" s="123">
        <f t="shared" si="35"/>
        <v>8.4614807591328489</v>
      </c>
    </row>
    <row r="164" spans="1:8" x14ac:dyDescent="0.2">
      <c r="A164" s="58" t="s">
        <v>29</v>
      </c>
      <c r="B164" s="58" t="s">
        <v>400</v>
      </c>
      <c r="C164" s="64" t="s">
        <v>401</v>
      </c>
      <c r="D164" s="65"/>
      <c r="E164" s="65"/>
      <c r="G164" s="122">
        <f t="shared" ref="G164:G166" si="36">E164-D164</f>
        <v>0</v>
      </c>
      <c r="H164" s="123" t="e">
        <f t="shared" ref="H164:H166" si="37">G164/D164*100</f>
        <v>#DIV/0!</v>
      </c>
    </row>
    <row r="165" spans="1:8" x14ac:dyDescent="0.2">
      <c r="A165" s="58"/>
      <c r="B165" s="58" t="s">
        <v>189</v>
      </c>
      <c r="C165" s="59" t="s">
        <v>190</v>
      </c>
      <c r="D165" s="27">
        <v>0</v>
      </c>
      <c r="E165" s="28">
        <f>'Buget 2024'!D165</f>
        <v>405</v>
      </c>
      <c r="G165" s="122">
        <f t="shared" si="36"/>
        <v>405</v>
      </c>
      <c r="H165" s="123" t="e">
        <f t="shared" si="37"/>
        <v>#DIV/0!</v>
      </c>
    </row>
    <row r="166" spans="1:8" x14ac:dyDescent="0.2">
      <c r="A166" s="58"/>
      <c r="B166" s="60" t="s">
        <v>191</v>
      </c>
      <c r="C166" s="61" t="s">
        <v>192</v>
      </c>
      <c r="D166" s="27">
        <v>0</v>
      </c>
      <c r="E166" s="28">
        <f>'Buget 2024'!D166</f>
        <v>405</v>
      </c>
      <c r="G166" s="122">
        <f t="shared" si="36"/>
        <v>405</v>
      </c>
      <c r="H166" s="123" t="e">
        <f t="shared" si="37"/>
        <v>#DIV/0!</v>
      </c>
    </row>
    <row r="167" spans="1:8" x14ac:dyDescent="0.2">
      <c r="A167" s="58" t="s">
        <v>29</v>
      </c>
      <c r="B167" s="58" t="s">
        <v>162</v>
      </c>
      <c r="C167" s="64" t="s">
        <v>163</v>
      </c>
      <c r="D167" s="65"/>
      <c r="E167" s="65"/>
      <c r="G167" s="122">
        <f t="shared" si="34"/>
        <v>0</v>
      </c>
      <c r="H167" s="123" t="e">
        <f t="shared" si="35"/>
        <v>#DIV/0!</v>
      </c>
    </row>
    <row r="168" spans="1:8" x14ac:dyDescent="0.2">
      <c r="A168" s="58"/>
      <c r="B168" s="58" t="s">
        <v>189</v>
      </c>
      <c r="C168" s="59" t="s">
        <v>190</v>
      </c>
      <c r="D168" s="27">
        <v>13160</v>
      </c>
      <c r="E168" s="28">
        <f>'Buget 2024'!D168</f>
        <v>13448</v>
      </c>
      <c r="G168" s="122">
        <f t="shared" si="34"/>
        <v>288</v>
      </c>
      <c r="H168" s="123">
        <f t="shared" si="35"/>
        <v>2.188449848024316</v>
      </c>
    </row>
    <row r="169" spans="1:8" x14ac:dyDescent="0.2">
      <c r="A169" s="58"/>
      <c r="B169" s="60" t="s">
        <v>191</v>
      </c>
      <c r="C169" s="61" t="s">
        <v>192</v>
      </c>
      <c r="D169" s="27">
        <v>13019</v>
      </c>
      <c r="E169" s="28">
        <f>'Buget 2024'!D169</f>
        <v>13448</v>
      </c>
      <c r="G169" s="122">
        <f t="shared" si="34"/>
        <v>429</v>
      </c>
      <c r="H169" s="123">
        <f t="shared" si="35"/>
        <v>3.2951839619018362</v>
      </c>
    </row>
    <row r="170" spans="1:8" x14ac:dyDescent="0.2">
      <c r="A170" s="58" t="s">
        <v>29</v>
      </c>
      <c r="B170" s="58" t="s">
        <v>323</v>
      </c>
      <c r="C170" s="62" t="s">
        <v>324</v>
      </c>
      <c r="D170" s="65"/>
      <c r="E170" s="65"/>
      <c r="G170" s="122">
        <f t="shared" si="34"/>
        <v>0</v>
      </c>
      <c r="H170" s="123" t="e">
        <f t="shared" si="35"/>
        <v>#DIV/0!</v>
      </c>
    </row>
    <row r="171" spans="1:8" x14ac:dyDescent="0.2">
      <c r="A171" s="58"/>
      <c r="B171" s="58" t="s">
        <v>189</v>
      </c>
      <c r="C171" s="59" t="s">
        <v>190</v>
      </c>
      <c r="D171" s="27">
        <v>553</v>
      </c>
      <c r="E171" s="28">
        <f>'Buget 2024'!D171</f>
        <v>606</v>
      </c>
      <c r="G171" s="122">
        <f t="shared" si="34"/>
        <v>53</v>
      </c>
      <c r="H171" s="123">
        <f t="shared" si="35"/>
        <v>9.5840867992766725</v>
      </c>
    </row>
    <row r="172" spans="1:8" x14ac:dyDescent="0.2">
      <c r="A172" s="58"/>
      <c r="B172" s="60" t="s">
        <v>191</v>
      </c>
      <c r="C172" s="61" t="s">
        <v>192</v>
      </c>
      <c r="D172" s="27">
        <v>312</v>
      </c>
      <c r="E172" s="28">
        <f>'Buget 2024'!D172</f>
        <v>606</v>
      </c>
      <c r="G172" s="122">
        <f t="shared" si="34"/>
        <v>294</v>
      </c>
      <c r="H172" s="123">
        <f t="shared" si="35"/>
        <v>94.230769230769226</v>
      </c>
    </row>
    <row r="173" spans="1:8" x14ac:dyDescent="0.2">
      <c r="A173" s="22" t="s">
        <v>29</v>
      </c>
      <c r="B173" s="22" t="s">
        <v>49</v>
      </c>
      <c r="C173" s="53" t="s">
        <v>204</v>
      </c>
      <c r="D173" s="66"/>
      <c r="E173" s="66"/>
      <c r="G173" s="122">
        <f t="shared" si="34"/>
        <v>0</v>
      </c>
      <c r="H173" s="123" t="e">
        <f t="shared" si="35"/>
        <v>#DIV/0!</v>
      </c>
    </row>
    <row r="174" spans="1:8" x14ac:dyDescent="0.2">
      <c r="A174" s="22"/>
      <c r="B174" s="22" t="s">
        <v>189</v>
      </c>
      <c r="C174" s="53" t="s">
        <v>190</v>
      </c>
      <c r="D174" s="66">
        <f t="shared" ref="D174:E175" si="38">D177+D180+D183+D186+D189+D192+D195+D198</f>
        <v>16523</v>
      </c>
      <c r="E174" s="66">
        <f t="shared" si="38"/>
        <v>22859</v>
      </c>
      <c r="G174" s="122">
        <f t="shared" si="34"/>
        <v>6336</v>
      </c>
      <c r="H174" s="123">
        <f t="shared" si="35"/>
        <v>38.346547237184531</v>
      </c>
    </row>
    <row r="175" spans="1:8" x14ac:dyDescent="0.2">
      <c r="A175" s="22"/>
      <c r="B175" s="22" t="s">
        <v>191</v>
      </c>
      <c r="C175" s="53" t="s">
        <v>192</v>
      </c>
      <c r="D175" s="66">
        <f>D178+D181+D184+D187+D190+D193+D196+D199</f>
        <v>11253</v>
      </c>
      <c r="E175" s="66">
        <f t="shared" si="38"/>
        <v>22859</v>
      </c>
      <c r="G175" s="122">
        <f t="shared" si="34"/>
        <v>11606</v>
      </c>
      <c r="H175" s="123">
        <f t="shared" si="35"/>
        <v>103.13694126010842</v>
      </c>
    </row>
    <row r="176" spans="1:8" x14ac:dyDescent="0.2">
      <c r="A176" s="32" t="s">
        <v>29</v>
      </c>
      <c r="B176" s="32" t="s">
        <v>50</v>
      </c>
      <c r="C176" s="67" t="s">
        <v>205</v>
      </c>
      <c r="D176" s="68"/>
      <c r="E176" s="68"/>
      <c r="G176" s="122">
        <f t="shared" si="34"/>
        <v>0</v>
      </c>
      <c r="H176" s="123" t="e">
        <f t="shared" si="35"/>
        <v>#DIV/0!</v>
      </c>
    </row>
    <row r="177" spans="1:8" x14ac:dyDescent="0.2">
      <c r="A177" s="32"/>
      <c r="B177" s="58" t="s">
        <v>189</v>
      </c>
      <c r="C177" s="59" t="s">
        <v>190</v>
      </c>
      <c r="D177" s="27">
        <f>681-1</f>
        <v>680</v>
      </c>
      <c r="E177" s="28">
        <f>'Buget 2024'!D177</f>
        <v>1615</v>
      </c>
      <c r="G177" s="122">
        <f t="shared" si="34"/>
        <v>935</v>
      </c>
      <c r="H177" s="123">
        <f t="shared" si="35"/>
        <v>137.5</v>
      </c>
    </row>
    <row r="178" spans="1:8" x14ac:dyDescent="0.2">
      <c r="A178" s="32"/>
      <c r="B178" s="60" t="s">
        <v>191</v>
      </c>
      <c r="C178" s="61" t="s">
        <v>192</v>
      </c>
      <c r="D178" s="27">
        <f>88-1</f>
        <v>87</v>
      </c>
      <c r="E178" s="28">
        <f>'Buget 2024'!D178</f>
        <v>1615</v>
      </c>
      <c r="G178" s="122">
        <f t="shared" si="34"/>
        <v>1528</v>
      </c>
      <c r="H178" s="123">
        <f t="shared" si="35"/>
        <v>1756.3218390804598</v>
      </c>
    </row>
    <row r="179" spans="1:8" x14ac:dyDescent="0.2">
      <c r="A179" s="32" t="s">
        <v>29</v>
      </c>
      <c r="B179" s="32" t="s">
        <v>51</v>
      </c>
      <c r="C179" s="33" t="s">
        <v>52</v>
      </c>
      <c r="D179" s="34"/>
      <c r="E179" s="35"/>
      <c r="G179" s="122">
        <f t="shared" si="34"/>
        <v>0</v>
      </c>
      <c r="H179" s="123" t="e">
        <f t="shared" si="35"/>
        <v>#DIV/0!</v>
      </c>
    </row>
    <row r="180" spans="1:8" x14ac:dyDescent="0.2">
      <c r="A180" s="32"/>
      <c r="B180" s="58" t="s">
        <v>189</v>
      </c>
      <c r="C180" s="59" t="s">
        <v>190</v>
      </c>
      <c r="D180" s="27">
        <v>27</v>
      </c>
      <c r="E180" s="28">
        <f>'Buget 2024'!D180</f>
        <v>57</v>
      </c>
      <c r="G180" s="122">
        <f t="shared" si="34"/>
        <v>30</v>
      </c>
      <c r="H180" s="123">
        <f t="shared" si="35"/>
        <v>111.11111111111111</v>
      </c>
    </row>
    <row r="181" spans="1:8" x14ac:dyDescent="0.2">
      <c r="A181" s="32"/>
      <c r="B181" s="60" t="s">
        <v>191</v>
      </c>
      <c r="C181" s="61" t="s">
        <v>192</v>
      </c>
      <c r="D181" s="27">
        <v>3</v>
      </c>
      <c r="E181" s="28">
        <f>'Buget 2024'!D181</f>
        <v>57</v>
      </c>
      <c r="G181" s="122">
        <f t="shared" si="34"/>
        <v>54</v>
      </c>
      <c r="H181" s="123">
        <f t="shared" si="35"/>
        <v>1800</v>
      </c>
    </row>
    <row r="182" spans="1:8" x14ac:dyDescent="0.2">
      <c r="A182" s="32" t="s">
        <v>29</v>
      </c>
      <c r="B182" s="32" t="s">
        <v>53</v>
      </c>
      <c r="C182" s="33" t="s">
        <v>54</v>
      </c>
      <c r="D182" s="34"/>
      <c r="E182" s="35"/>
      <c r="G182" s="122">
        <f t="shared" si="34"/>
        <v>0</v>
      </c>
      <c r="H182" s="123" t="e">
        <f t="shared" si="35"/>
        <v>#DIV/0!</v>
      </c>
    </row>
    <row r="183" spans="1:8" x14ac:dyDescent="0.2">
      <c r="A183" s="32"/>
      <c r="B183" s="58" t="s">
        <v>189</v>
      </c>
      <c r="C183" s="59" t="s">
        <v>190</v>
      </c>
      <c r="D183" s="27">
        <v>274</v>
      </c>
      <c r="E183" s="28">
        <f>'Buget 2024'!D183</f>
        <v>514</v>
      </c>
      <c r="G183" s="122">
        <f t="shared" si="34"/>
        <v>240</v>
      </c>
      <c r="H183" s="123">
        <f t="shared" si="35"/>
        <v>87.591240875912419</v>
      </c>
    </row>
    <row r="184" spans="1:8" x14ac:dyDescent="0.2">
      <c r="A184" s="32"/>
      <c r="B184" s="60" t="s">
        <v>191</v>
      </c>
      <c r="C184" s="61" t="s">
        <v>192</v>
      </c>
      <c r="D184" s="27">
        <v>29</v>
      </c>
      <c r="E184" s="28">
        <f>'Buget 2024'!D184</f>
        <v>514</v>
      </c>
      <c r="G184" s="122">
        <f t="shared" si="34"/>
        <v>485</v>
      </c>
      <c r="H184" s="123">
        <f t="shared" si="35"/>
        <v>1672.4137931034484</v>
      </c>
    </row>
    <row r="185" spans="1:8" ht="25.5" x14ac:dyDescent="0.2">
      <c r="A185" s="32" t="s">
        <v>29</v>
      </c>
      <c r="B185" s="32" t="s">
        <v>55</v>
      </c>
      <c r="C185" s="33" t="s">
        <v>206</v>
      </c>
      <c r="D185" s="34"/>
      <c r="E185" s="35"/>
      <c r="G185" s="122">
        <f t="shared" si="34"/>
        <v>0</v>
      </c>
      <c r="H185" s="123" t="e">
        <f t="shared" si="35"/>
        <v>#DIV/0!</v>
      </c>
    </row>
    <row r="186" spans="1:8" x14ac:dyDescent="0.2">
      <c r="A186" s="32"/>
      <c r="B186" s="58" t="s">
        <v>189</v>
      </c>
      <c r="C186" s="59" t="s">
        <v>190</v>
      </c>
      <c r="D186" s="27">
        <v>14</v>
      </c>
      <c r="E186" s="28">
        <f>'Buget 2024'!D186</f>
        <v>30</v>
      </c>
      <c r="G186" s="122">
        <f t="shared" si="34"/>
        <v>16</v>
      </c>
      <c r="H186" s="123">
        <f t="shared" si="35"/>
        <v>114.28571428571428</v>
      </c>
    </row>
    <row r="187" spans="1:8" x14ac:dyDescent="0.2">
      <c r="A187" s="32"/>
      <c r="B187" s="60" t="s">
        <v>191</v>
      </c>
      <c r="C187" s="61" t="s">
        <v>192</v>
      </c>
      <c r="D187" s="27">
        <v>1</v>
      </c>
      <c r="E187" s="28">
        <f>'Buget 2024'!D187</f>
        <v>30</v>
      </c>
      <c r="G187" s="122">
        <f t="shared" si="34"/>
        <v>29</v>
      </c>
      <c r="H187" s="123">
        <f t="shared" si="35"/>
        <v>2900</v>
      </c>
    </row>
    <row r="188" spans="1:8" hidden="1" x14ac:dyDescent="0.2">
      <c r="A188" s="32" t="s">
        <v>29</v>
      </c>
      <c r="B188" s="32" t="s">
        <v>164</v>
      </c>
      <c r="C188" s="33" t="s">
        <v>165</v>
      </c>
      <c r="D188" s="34"/>
      <c r="E188" s="35"/>
      <c r="G188" s="122">
        <f t="shared" si="34"/>
        <v>0</v>
      </c>
      <c r="H188" s="123" t="e">
        <f t="shared" si="35"/>
        <v>#DIV/0!</v>
      </c>
    </row>
    <row r="189" spans="1:8" hidden="1" x14ac:dyDescent="0.2">
      <c r="A189" s="32"/>
      <c r="B189" s="58" t="s">
        <v>189</v>
      </c>
      <c r="C189" s="59" t="s">
        <v>190</v>
      </c>
      <c r="D189" s="27"/>
      <c r="E189" s="28">
        <f>'Buget 2024'!D189</f>
        <v>0</v>
      </c>
      <c r="G189" s="122">
        <f t="shared" si="34"/>
        <v>0</v>
      </c>
      <c r="H189" s="123" t="e">
        <f t="shared" si="35"/>
        <v>#DIV/0!</v>
      </c>
    </row>
    <row r="190" spans="1:8" hidden="1" x14ac:dyDescent="0.2">
      <c r="A190" s="32"/>
      <c r="B190" s="60" t="s">
        <v>191</v>
      </c>
      <c r="C190" s="61" t="s">
        <v>192</v>
      </c>
      <c r="D190" s="27"/>
      <c r="E190" s="28">
        <f>'Buget 2024'!D190</f>
        <v>0</v>
      </c>
      <c r="G190" s="122">
        <f t="shared" si="34"/>
        <v>0</v>
      </c>
      <c r="H190" s="123" t="e">
        <f t="shared" si="35"/>
        <v>#DIV/0!</v>
      </c>
    </row>
    <row r="191" spans="1:8" x14ac:dyDescent="0.2">
      <c r="A191" s="32" t="s">
        <v>29</v>
      </c>
      <c r="B191" s="32" t="s">
        <v>56</v>
      </c>
      <c r="C191" s="33" t="s">
        <v>207</v>
      </c>
      <c r="D191" s="34"/>
      <c r="E191" s="35"/>
      <c r="G191" s="122">
        <f t="shared" si="34"/>
        <v>0</v>
      </c>
      <c r="H191" s="123" t="e">
        <f t="shared" si="35"/>
        <v>#DIV/0!</v>
      </c>
    </row>
    <row r="192" spans="1:8" x14ac:dyDescent="0.2">
      <c r="A192" s="32"/>
      <c r="B192" s="58" t="s">
        <v>189</v>
      </c>
      <c r="C192" s="59" t="s">
        <v>190</v>
      </c>
      <c r="D192" s="27">
        <v>26</v>
      </c>
      <c r="E192" s="28">
        <f>'Buget 2024'!D192</f>
        <v>61</v>
      </c>
      <c r="G192" s="122">
        <f t="shared" si="34"/>
        <v>35</v>
      </c>
      <c r="H192" s="123">
        <f t="shared" si="35"/>
        <v>134.61538461538461</v>
      </c>
    </row>
    <row r="193" spans="1:8" x14ac:dyDescent="0.2">
      <c r="A193" s="32"/>
      <c r="B193" s="60" t="s">
        <v>191</v>
      </c>
      <c r="C193" s="61" t="s">
        <v>192</v>
      </c>
      <c r="D193" s="27">
        <v>0</v>
      </c>
      <c r="E193" s="28">
        <f>'Buget 2024'!D193</f>
        <v>61</v>
      </c>
      <c r="G193" s="122">
        <f t="shared" si="34"/>
        <v>61</v>
      </c>
      <c r="H193" s="123" t="e">
        <f t="shared" si="35"/>
        <v>#DIV/0!</v>
      </c>
    </row>
    <row r="194" spans="1:8" x14ac:dyDescent="0.2">
      <c r="A194" s="58" t="s">
        <v>29</v>
      </c>
      <c r="B194" s="58" t="s">
        <v>160</v>
      </c>
      <c r="C194" s="69" t="s">
        <v>161</v>
      </c>
      <c r="D194" s="70"/>
      <c r="E194" s="71"/>
      <c r="G194" s="122">
        <f t="shared" si="34"/>
        <v>0</v>
      </c>
      <c r="H194" s="123" t="e">
        <f t="shared" si="35"/>
        <v>#DIV/0!</v>
      </c>
    </row>
    <row r="195" spans="1:8" x14ac:dyDescent="0.2">
      <c r="A195" s="58"/>
      <c r="B195" s="58" t="s">
        <v>189</v>
      </c>
      <c r="C195" s="59" t="s">
        <v>190</v>
      </c>
      <c r="D195" s="27">
        <v>15301</v>
      </c>
      <c r="E195" s="28">
        <f>'Buget 2024'!D195</f>
        <v>20278</v>
      </c>
      <c r="G195" s="122">
        <f t="shared" si="34"/>
        <v>4977</v>
      </c>
      <c r="H195" s="123">
        <f t="shared" si="35"/>
        <v>32.527285798313841</v>
      </c>
    </row>
    <row r="196" spans="1:8" x14ac:dyDescent="0.2">
      <c r="A196" s="58"/>
      <c r="B196" s="60" t="s">
        <v>191</v>
      </c>
      <c r="C196" s="61" t="s">
        <v>192</v>
      </c>
      <c r="D196" s="27">
        <v>11042</v>
      </c>
      <c r="E196" s="28">
        <f>'Buget 2024'!D196</f>
        <v>20278</v>
      </c>
      <c r="G196" s="122">
        <f t="shared" si="34"/>
        <v>9236</v>
      </c>
      <c r="H196" s="123">
        <f t="shared" si="35"/>
        <v>83.644267342872666</v>
      </c>
    </row>
    <row r="197" spans="1:8" x14ac:dyDescent="0.2">
      <c r="A197" s="58" t="s">
        <v>29</v>
      </c>
      <c r="B197" s="58" t="s">
        <v>166</v>
      </c>
      <c r="C197" s="69" t="s">
        <v>167</v>
      </c>
      <c r="D197" s="71"/>
      <c r="E197" s="71"/>
      <c r="G197" s="122">
        <f t="shared" si="34"/>
        <v>0</v>
      </c>
      <c r="H197" s="123" t="e">
        <f t="shared" si="35"/>
        <v>#DIV/0!</v>
      </c>
    </row>
    <row r="198" spans="1:8" x14ac:dyDescent="0.2">
      <c r="A198" s="58"/>
      <c r="B198" s="58" t="s">
        <v>189</v>
      </c>
      <c r="C198" s="59" t="s">
        <v>190</v>
      </c>
      <c r="D198" s="27">
        <v>201</v>
      </c>
      <c r="E198" s="28">
        <f>'Buget 2024'!D198</f>
        <v>304</v>
      </c>
      <c r="G198" s="122">
        <f t="shared" si="34"/>
        <v>103</v>
      </c>
      <c r="H198" s="123">
        <f t="shared" si="35"/>
        <v>51.243781094527364</v>
      </c>
    </row>
    <row r="199" spans="1:8" x14ac:dyDescent="0.2">
      <c r="A199" s="58"/>
      <c r="B199" s="60" t="s">
        <v>191</v>
      </c>
      <c r="C199" s="61" t="s">
        <v>192</v>
      </c>
      <c r="D199" s="27">
        <v>91</v>
      </c>
      <c r="E199" s="28">
        <f>'Buget 2024'!D199</f>
        <v>304</v>
      </c>
      <c r="G199" s="122">
        <f t="shared" si="34"/>
        <v>213</v>
      </c>
      <c r="H199" s="123">
        <f t="shared" si="35"/>
        <v>234.06593406593407</v>
      </c>
    </row>
    <row r="200" spans="1:8" x14ac:dyDescent="0.2">
      <c r="A200" s="22" t="s">
        <v>29</v>
      </c>
      <c r="B200" s="72">
        <v>20</v>
      </c>
      <c r="C200" s="53" t="s">
        <v>208</v>
      </c>
      <c r="D200" s="66"/>
      <c r="E200" s="66"/>
      <c r="G200" s="122">
        <f t="shared" si="34"/>
        <v>0</v>
      </c>
      <c r="H200" s="123" t="e">
        <f t="shared" si="35"/>
        <v>#DIV/0!</v>
      </c>
    </row>
    <row r="201" spans="1:8" x14ac:dyDescent="0.2">
      <c r="A201" s="22"/>
      <c r="B201" s="22" t="s">
        <v>189</v>
      </c>
      <c r="C201" s="53" t="s">
        <v>190</v>
      </c>
      <c r="D201" s="66">
        <f t="shared" ref="D201:E202" si="39">D204+D240+D237+D246+D261+D273+D282+D285+D288+D291+D294+D297+D300+D303+D306+D312+D315</f>
        <v>278632</v>
      </c>
      <c r="E201" s="66">
        <f t="shared" si="39"/>
        <v>504901</v>
      </c>
      <c r="G201" s="122">
        <f t="shared" si="34"/>
        <v>226269</v>
      </c>
      <c r="H201" s="123">
        <f t="shared" si="35"/>
        <v>81.207111889517364</v>
      </c>
    </row>
    <row r="202" spans="1:8" x14ac:dyDescent="0.2">
      <c r="A202" s="22"/>
      <c r="B202" s="22" t="s">
        <v>191</v>
      </c>
      <c r="C202" s="53" t="s">
        <v>192</v>
      </c>
      <c r="D202" s="66">
        <f>D205+D241+D238+D247+D262+D274+D283+D286+D289+D292+D295+D298+D301+D304+D307+D313+D316</f>
        <v>227759</v>
      </c>
      <c r="E202" s="66">
        <f t="shared" si="39"/>
        <v>504901</v>
      </c>
      <c r="G202" s="122">
        <f t="shared" si="34"/>
        <v>277142</v>
      </c>
      <c r="H202" s="123">
        <f t="shared" si="35"/>
        <v>121.68212891696926</v>
      </c>
    </row>
    <row r="203" spans="1:8" x14ac:dyDescent="0.2">
      <c r="A203" s="22" t="s">
        <v>29</v>
      </c>
      <c r="B203" s="72" t="s">
        <v>57</v>
      </c>
      <c r="C203" s="23" t="s">
        <v>209</v>
      </c>
      <c r="D203" s="24"/>
      <c r="E203" s="24"/>
      <c r="G203" s="122">
        <f t="shared" si="34"/>
        <v>0</v>
      </c>
      <c r="H203" s="123" t="e">
        <f t="shared" si="35"/>
        <v>#DIV/0!</v>
      </c>
    </row>
    <row r="204" spans="1:8" x14ac:dyDescent="0.2">
      <c r="A204" s="22"/>
      <c r="B204" s="22" t="s">
        <v>189</v>
      </c>
      <c r="C204" s="53" t="s">
        <v>190</v>
      </c>
      <c r="D204" s="24">
        <f t="shared" ref="D204:E205" si="40">D207+D210+D213+D216+D219+D222+D225+D228+D231+D234</f>
        <v>88003</v>
      </c>
      <c r="E204" s="24">
        <f t="shared" si="40"/>
        <v>170934</v>
      </c>
      <c r="G204" s="122">
        <f t="shared" si="34"/>
        <v>82931</v>
      </c>
      <c r="H204" s="123">
        <f t="shared" si="35"/>
        <v>94.236560117268738</v>
      </c>
    </row>
    <row r="205" spans="1:8" x14ac:dyDescent="0.2">
      <c r="A205" s="22"/>
      <c r="B205" s="22" t="s">
        <v>191</v>
      </c>
      <c r="C205" s="53" t="s">
        <v>192</v>
      </c>
      <c r="D205" s="24">
        <f t="shared" si="40"/>
        <v>56431</v>
      </c>
      <c r="E205" s="24">
        <f t="shared" si="40"/>
        <v>170934</v>
      </c>
      <c r="G205" s="122">
        <f t="shared" si="34"/>
        <v>114503</v>
      </c>
      <c r="H205" s="123">
        <f t="shared" si="35"/>
        <v>202.9079761124205</v>
      </c>
    </row>
    <row r="206" spans="1:8" x14ac:dyDescent="0.2">
      <c r="A206" s="32" t="s">
        <v>29</v>
      </c>
      <c r="B206" s="73" t="s">
        <v>58</v>
      </c>
      <c r="C206" s="33" t="s">
        <v>59</v>
      </c>
      <c r="D206" s="74"/>
      <c r="E206" s="74"/>
      <c r="G206" s="122">
        <f t="shared" si="34"/>
        <v>0</v>
      </c>
      <c r="H206" s="123" t="e">
        <f t="shared" si="35"/>
        <v>#DIV/0!</v>
      </c>
    </row>
    <row r="207" spans="1:8" x14ac:dyDescent="0.2">
      <c r="A207" s="32"/>
      <c r="B207" s="58" t="s">
        <v>189</v>
      </c>
      <c r="C207" s="59" t="s">
        <v>190</v>
      </c>
      <c r="D207" s="27">
        <v>723</v>
      </c>
      <c r="E207" s="28">
        <f>'Buget 2024'!D207</f>
        <v>2139</v>
      </c>
      <c r="G207" s="122">
        <f t="shared" si="34"/>
        <v>1416</v>
      </c>
      <c r="H207" s="123">
        <f t="shared" si="35"/>
        <v>195.85062240663899</v>
      </c>
    </row>
    <row r="208" spans="1:8" x14ac:dyDescent="0.2">
      <c r="A208" s="32"/>
      <c r="B208" s="60" t="s">
        <v>191</v>
      </c>
      <c r="C208" s="61" t="s">
        <v>192</v>
      </c>
      <c r="D208" s="27">
        <v>639</v>
      </c>
      <c r="E208" s="28">
        <f>'Buget 2024'!D208</f>
        <v>2139</v>
      </c>
      <c r="G208" s="122">
        <f t="shared" si="34"/>
        <v>1500</v>
      </c>
      <c r="H208" s="123">
        <f t="shared" si="35"/>
        <v>234.74178403755869</v>
      </c>
    </row>
    <row r="209" spans="1:8" x14ac:dyDescent="0.2">
      <c r="A209" s="32" t="s">
        <v>29</v>
      </c>
      <c r="B209" s="73" t="s">
        <v>60</v>
      </c>
      <c r="C209" s="33" t="s">
        <v>210</v>
      </c>
      <c r="D209" s="75"/>
      <c r="E209" s="74"/>
      <c r="G209" s="122">
        <f t="shared" si="34"/>
        <v>0</v>
      </c>
      <c r="H209" s="123" t="e">
        <f t="shared" si="35"/>
        <v>#DIV/0!</v>
      </c>
    </row>
    <row r="210" spans="1:8" x14ac:dyDescent="0.2">
      <c r="A210" s="32"/>
      <c r="B210" s="58" t="s">
        <v>189</v>
      </c>
      <c r="C210" s="59" t="s">
        <v>190</v>
      </c>
      <c r="D210" s="27">
        <v>543</v>
      </c>
      <c r="E210" s="28">
        <f>'Buget 2024'!D210</f>
        <v>1187</v>
      </c>
      <c r="G210" s="122">
        <f t="shared" si="34"/>
        <v>644</v>
      </c>
      <c r="H210" s="123">
        <f t="shared" si="35"/>
        <v>118.60036832412524</v>
      </c>
    </row>
    <row r="211" spans="1:8" x14ac:dyDescent="0.2">
      <c r="A211" s="32"/>
      <c r="B211" s="60" t="s">
        <v>191</v>
      </c>
      <c r="C211" s="61" t="s">
        <v>192</v>
      </c>
      <c r="D211" s="27">
        <f>492-1</f>
        <v>491</v>
      </c>
      <c r="E211" s="28">
        <f>'Buget 2024'!D211</f>
        <v>1187</v>
      </c>
      <c r="G211" s="122">
        <f t="shared" si="34"/>
        <v>696</v>
      </c>
      <c r="H211" s="123">
        <f t="shared" si="35"/>
        <v>141.75152749490834</v>
      </c>
    </row>
    <row r="212" spans="1:8" x14ac:dyDescent="0.2">
      <c r="A212" s="32" t="s">
        <v>29</v>
      </c>
      <c r="B212" s="73" t="s">
        <v>61</v>
      </c>
      <c r="C212" s="33" t="s">
        <v>211</v>
      </c>
      <c r="D212" s="75"/>
      <c r="E212" s="74"/>
      <c r="G212" s="122">
        <f t="shared" si="34"/>
        <v>0</v>
      </c>
      <c r="H212" s="123" t="e">
        <f t="shared" si="35"/>
        <v>#DIV/0!</v>
      </c>
    </row>
    <row r="213" spans="1:8" x14ac:dyDescent="0.2">
      <c r="A213" s="32"/>
      <c r="B213" s="58" t="s">
        <v>189</v>
      </c>
      <c r="C213" s="59" t="s">
        <v>190</v>
      </c>
      <c r="D213" s="27">
        <v>18657</v>
      </c>
      <c r="E213" s="28">
        <f>'Buget 2024'!D213</f>
        <v>40258</v>
      </c>
      <c r="G213" s="122">
        <f t="shared" si="34"/>
        <v>21601</v>
      </c>
      <c r="H213" s="123">
        <f t="shared" si="35"/>
        <v>115.77960015007771</v>
      </c>
    </row>
    <row r="214" spans="1:8" x14ac:dyDescent="0.2">
      <c r="A214" s="32"/>
      <c r="B214" s="60" t="s">
        <v>191</v>
      </c>
      <c r="C214" s="61" t="s">
        <v>192</v>
      </c>
      <c r="D214" s="27">
        <v>13554</v>
      </c>
      <c r="E214" s="28">
        <f>'Buget 2024'!D214</f>
        <v>40258</v>
      </c>
      <c r="G214" s="122">
        <f t="shared" si="34"/>
        <v>26704</v>
      </c>
      <c r="H214" s="123">
        <f t="shared" si="35"/>
        <v>197.01933008705916</v>
      </c>
    </row>
    <row r="215" spans="1:8" x14ac:dyDescent="0.2">
      <c r="A215" s="32" t="s">
        <v>29</v>
      </c>
      <c r="B215" s="73" t="s">
        <v>62</v>
      </c>
      <c r="C215" s="33" t="s">
        <v>212</v>
      </c>
      <c r="D215" s="75"/>
      <c r="E215" s="74"/>
      <c r="G215" s="122">
        <f t="shared" si="34"/>
        <v>0</v>
      </c>
      <c r="H215" s="123" t="e">
        <f t="shared" si="35"/>
        <v>#DIV/0!</v>
      </c>
    </row>
    <row r="216" spans="1:8" x14ac:dyDescent="0.2">
      <c r="A216" s="32"/>
      <c r="B216" s="58" t="s">
        <v>189</v>
      </c>
      <c r="C216" s="59" t="s">
        <v>190</v>
      </c>
      <c r="D216" s="27">
        <v>1622</v>
      </c>
      <c r="E216" s="28">
        <f>'Buget 2024'!D216</f>
        <v>2581</v>
      </c>
      <c r="G216" s="122">
        <f t="shared" si="34"/>
        <v>959</v>
      </c>
      <c r="H216" s="123">
        <f t="shared" si="35"/>
        <v>59.12453760789149</v>
      </c>
    </row>
    <row r="217" spans="1:8" x14ac:dyDescent="0.2">
      <c r="A217" s="32"/>
      <c r="B217" s="60" t="s">
        <v>191</v>
      </c>
      <c r="C217" s="61" t="s">
        <v>192</v>
      </c>
      <c r="D217" s="27">
        <v>1093</v>
      </c>
      <c r="E217" s="28">
        <f>'Buget 2024'!D217</f>
        <v>2581</v>
      </c>
      <c r="G217" s="122">
        <f t="shared" ref="G217:G280" si="41">E217-D217</f>
        <v>1488</v>
      </c>
      <c r="H217" s="123">
        <f t="shared" ref="H217:H280" si="42">G217/D217*100</f>
        <v>136.13906678865507</v>
      </c>
    </row>
    <row r="218" spans="1:8" x14ac:dyDescent="0.2">
      <c r="A218" s="32" t="s">
        <v>29</v>
      </c>
      <c r="B218" s="73" t="s">
        <v>63</v>
      </c>
      <c r="C218" s="33" t="s">
        <v>213</v>
      </c>
      <c r="D218" s="74"/>
      <c r="E218" s="74"/>
      <c r="G218" s="122">
        <f t="shared" si="41"/>
        <v>0</v>
      </c>
      <c r="H218" s="123" t="e">
        <f t="shared" si="42"/>
        <v>#DIV/0!</v>
      </c>
    </row>
    <row r="219" spans="1:8" x14ac:dyDescent="0.2">
      <c r="A219" s="32"/>
      <c r="B219" s="58" t="s">
        <v>189</v>
      </c>
      <c r="C219" s="59" t="s">
        <v>190</v>
      </c>
      <c r="D219" s="27">
        <v>24546</v>
      </c>
      <c r="E219" s="28">
        <f>'Buget 2024'!D219</f>
        <v>39281</v>
      </c>
      <c r="G219" s="122">
        <f t="shared" si="41"/>
        <v>14735</v>
      </c>
      <c r="H219" s="123">
        <f t="shared" si="42"/>
        <v>60.030147478204185</v>
      </c>
    </row>
    <row r="220" spans="1:8" x14ac:dyDescent="0.2">
      <c r="A220" s="32"/>
      <c r="B220" s="60" t="s">
        <v>191</v>
      </c>
      <c r="C220" s="61" t="s">
        <v>192</v>
      </c>
      <c r="D220" s="27">
        <v>13953</v>
      </c>
      <c r="E220" s="28">
        <f>'Buget 2024'!D220</f>
        <v>39281</v>
      </c>
      <c r="G220" s="122">
        <f t="shared" si="41"/>
        <v>25328</v>
      </c>
      <c r="H220" s="123">
        <f t="shared" si="42"/>
        <v>181.52368666236652</v>
      </c>
    </row>
    <row r="221" spans="1:8" x14ac:dyDescent="0.2">
      <c r="A221" s="32" t="s">
        <v>29</v>
      </c>
      <c r="B221" s="73" t="s">
        <v>64</v>
      </c>
      <c r="C221" s="33" t="s">
        <v>65</v>
      </c>
      <c r="D221" s="75"/>
      <c r="E221" s="74"/>
      <c r="G221" s="122">
        <f t="shared" si="41"/>
        <v>0</v>
      </c>
      <c r="H221" s="123" t="e">
        <f t="shared" si="42"/>
        <v>#DIV/0!</v>
      </c>
    </row>
    <row r="222" spans="1:8" x14ac:dyDescent="0.2">
      <c r="A222" s="32"/>
      <c r="B222" s="58" t="s">
        <v>189</v>
      </c>
      <c r="C222" s="59" t="s">
        <v>190</v>
      </c>
      <c r="D222" s="27">
        <v>4491</v>
      </c>
      <c r="E222" s="28">
        <f>'Buget 2024'!D222</f>
        <v>15447</v>
      </c>
      <c r="G222" s="122">
        <f t="shared" si="41"/>
        <v>10956</v>
      </c>
      <c r="H222" s="123">
        <f t="shared" si="42"/>
        <v>243.95457581830325</v>
      </c>
    </row>
    <row r="223" spans="1:8" x14ac:dyDescent="0.2">
      <c r="A223" s="32"/>
      <c r="B223" s="60" t="s">
        <v>191</v>
      </c>
      <c r="C223" s="61" t="s">
        <v>192</v>
      </c>
      <c r="D223" s="27">
        <v>3721</v>
      </c>
      <c r="E223" s="28">
        <f>'Buget 2024'!D223</f>
        <v>15447</v>
      </c>
      <c r="G223" s="122">
        <f t="shared" si="41"/>
        <v>11726</v>
      </c>
      <c r="H223" s="123">
        <f t="shared" si="42"/>
        <v>315.13034130610049</v>
      </c>
    </row>
    <row r="224" spans="1:8" x14ac:dyDescent="0.2">
      <c r="A224" s="32" t="s">
        <v>29</v>
      </c>
      <c r="B224" s="73" t="s">
        <v>66</v>
      </c>
      <c r="C224" s="33" t="s">
        <v>67</v>
      </c>
      <c r="D224" s="75"/>
      <c r="E224" s="74"/>
      <c r="G224" s="122">
        <f t="shared" si="41"/>
        <v>0</v>
      </c>
      <c r="H224" s="123" t="e">
        <f t="shared" si="42"/>
        <v>#DIV/0!</v>
      </c>
    </row>
    <row r="225" spans="1:8" x14ac:dyDescent="0.2">
      <c r="A225" s="32"/>
      <c r="B225" s="58" t="s">
        <v>189</v>
      </c>
      <c r="C225" s="59" t="s">
        <v>190</v>
      </c>
      <c r="D225" s="27">
        <v>82</v>
      </c>
      <c r="E225" s="28">
        <f>'Buget 2024'!D225</f>
        <v>447</v>
      </c>
      <c r="G225" s="122">
        <f t="shared" si="41"/>
        <v>365</v>
      </c>
      <c r="H225" s="123">
        <f t="shared" si="42"/>
        <v>445.1219512195122</v>
      </c>
    </row>
    <row r="226" spans="1:8" x14ac:dyDescent="0.2">
      <c r="A226" s="32"/>
      <c r="B226" s="60" t="s">
        <v>191</v>
      </c>
      <c r="C226" s="61" t="s">
        <v>192</v>
      </c>
      <c r="D226" s="27">
        <v>68</v>
      </c>
      <c r="E226" s="28">
        <f>'Buget 2024'!D226</f>
        <v>447</v>
      </c>
      <c r="G226" s="122">
        <f t="shared" si="41"/>
        <v>379</v>
      </c>
      <c r="H226" s="123">
        <f t="shared" si="42"/>
        <v>557.35294117647061</v>
      </c>
    </row>
    <row r="227" spans="1:8" x14ac:dyDescent="0.2">
      <c r="A227" s="32" t="s">
        <v>29</v>
      </c>
      <c r="B227" s="73" t="s">
        <v>68</v>
      </c>
      <c r="C227" s="33" t="s">
        <v>214</v>
      </c>
      <c r="D227" s="75"/>
      <c r="E227" s="74"/>
      <c r="G227" s="122">
        <f t="shared" si="41"/>
        <v>0</v>
      </c>
      <c r="H227" s="123" t="e">
        <f t="shared" si="42"/>
        <v>#DIV/0!</v>
      </c>
    </row>
    <row r="228" spans="1:8" x14ac:dyDescent="0.2">
      <c r="A228" s="32"/>
      <c r="B228" s="58" t="s">
        <v>189</v>
      </c>
      <c r="C228" s="59" t="s">
        <v>190</v>
      </c>
      <c r="D228" s="27">
        <v>4018</v>
      </c>
      <c r="E228" s="28">
        <f>'Buget 2024'!D228</f>
        <v>5334</v>
      </c>
      <c r="G228" s="122">
        <f t="shared" si="41"/>
        <v>1316</v>
      </c>
      <c r="H228" s="123">
        <f t="shared" si="42"/>
        <v>32.752613240418114</v>
      </c>
    </row>
    <row r="229" spans="1:8" x14ac:dyDescent="0.2">
      <c r="A229" s="32"/>
      <c r="B229" s="60" t="s">
        <v>191</v>
      </c>
      <c r="C229" s="61" t="s">
        <v>192</v>
      </c>
      <c r="D229" s="27">
        <v>2381</v>
      </c>
      <c r="E229" s="28">
        <f>'Buget 2024'!D229</f>
        <v>5334</v>
      </c>
      <c r="G229" s="122">
        <f t="shared" si="41"/>
        <v>2953</v>
      </c>
      <c r="H229" s="123">
        <f t="shared" si="42"/>
        <v>124.02351952960942</v>
      </c>
    </row>
    <row r="230" spans="1:8" x14ac:dyDescent="0.2">
      <c r="A230" s="32" t="s">
        <v>29</v>
      </c>
      <c r="B230" s="73" t="s">
        <v>69</v>
      </c>
      <c r="C230" s="33" t="s">
        <v>215</v>
      </c>
      <c r="D230" s="75"/>
      <c r="E230" s="74"/>
      <c r="G230" s="122">
        <f t="shared" si="41"/>
        <v>0</v>
      </c>
      <c r="H230" s="123" t="e">
        <f t="shared" si="42"/>
        <v>#DIV/0!</v>
      </c>
    </row>
    <row r="231" spans="1:8" x14ac:dyDescent="0.2">
      <c r="A231" s="32"/>
      <c r="B231" s="58" t="s">
        <v>189</v>
      </c>
      <c r="C231" s="59" t="s">
        <v>190</v>
      </c>
      <c r="D231" s="27">
        <v>11020</v>
      </c>
      <c r="E231" s="28">
        <f>'Buget 2024'!D231</f>
        <v>24460</v>
      </c>
      <c r="G231" s="122">
        <f t="shared" si="41"/>
        <v>13440</v>
      </c>
      <c r="H231" s="123">
        <f t="shared" si="42"/>
        <v>121.9600725952813</v>
      </c>
    </row>
    <row r="232" spans="1:8" x14ac:dyDescent="0.2">
      <c r="A232" s="32"/>
      <c r="B232" s="60" t="s">
        <v>191</v>
      </c>
      <c r="C232" s="61" t="s">
        <v>192</v>
      </c>
      <c r="D232" s="27">
        <v>6867</v>
      </c>
      <c r="E232" s="28">
        <f>'Buget 2024'!D232</f>
        <v>24460</v>
      </c>
      <c r="G232" s="122">
        <f t="shared" si="41"/>
        <v>17593</v>
      </c>
      <c r="H232" s="123">
        <f t="shared" si="42"/>
        <v>256.19630115042958</v>
      </c>
    </row>
    <row r="233" spans="1:8" x14ac:dyDescent="0.2">
      <c r="A233" s="32" t="s">
        <v>29</v>
      </c>
      <c r="B233" s="73" t="s">
        <v>70</v>
      </c>
      <c r="C233" s="33" t="s">
        <v>216</v>
      </c>
      <c r="D233" s="74"/>
      <c r="E233" s="74"/>
      <c r="G233" s="122">
        <f t="shared" si="41"/>
        <v>0</v>
      </c>
      <c r="H233" s="123" t="e">
        <f t="shared" si="42"/>
        <v>#DIV/0!</v>
      </c>
    </row>
    <row r="234" spans="1:8" x14ac:dyDescent="0.2">
      <c r="A234" s="32"/>
      <c r="B234" s="58" t="s">
        <v>189</v>
      </c>
      <c r="C234" s="59" t="s">
        <v>190</v>
      </c>
      <c r="D234" s="27">
        <v>22301</v>
      </c>
      <c r="E234" s="28">
        <f>'Buget 2024'!D234</f>
        <v>39800</v>
      </c>
      <c r="G234" s="122">
        <f t="shared" si="41"/>
        <v>17499</v>
      </c>
      <c r="H234" s="123">
        <f t="shared" si="42"/>
        <v>78.467333303439318</v>
      </c>
    </row>
    <row r="235" spans="1:8" x14ac:dyDescent="0.2">
      <c r="A235" s="32"/>
      <c r="B235" s="60" t="s">
        <v>191</v>
      </c>
      <c r="C235" s="61" t="s">
        <v>192</v>
      </c>
      <c r="D235" s="27">
        <v>13664</v>
      </c>
      <c r="E235" s="28">
        <f>'Buget 2024'!D235</f>
        <v>39800</v>
      </c>
      <c r="G235" s="122">
        <f t="shared" si="41"/>
        <v>26136</v>
      </c>
      <c r="H235" s="123">
        <f t="shared" si="42"/>
        <v>191.27634660421546</v>
      </c>
    </row>
    <row r="236" spans="1:8" x14ac:dyDescent="0.2">
      <c r="A236" s="40" t="s">
        <v>29</v>
      </c>
      <c r="B236" s="76" t="s">
        <v>71</v>
      </c>
      <c r="C236" s="41" t="s">
        <v>217</v>
      </c>
      <c r="D236" s="77"/>
      <c r="E236" s="77"/>
      <c r="G236" s="122">
        <f t="shared" si="41"/>
        <v>0</v>
      </c>
      <c r="H236" s="123" t="e">
        <f t="shared" si="42"/>
        <v>#DIV/0!</v>
      </c>
    </row>
    <row r="237" spans="1:8" x14ac:dyDescent="0.2">
      <c r="A237" s="40"/>
      <c r="B237" s="22" t="s">
        <v>189</v>
      </c>
      <c r="C237" s="53" t="s">
        <v>190</v>
      </c>
      <c r="D237" s="24">
        <v>14054</v>
      </c>
      <c r="E237" s="24">
        <f>'Buget 2024'!D237</f>
        <v>48068</v>
      </c>
      <c r="G237" s="122">
        <f t="shared" si="41"/>
        <v>34014</v>
      </c>
      <c r="H237" s="123">
        <f t="shared" si="42"/>
        <v>242.02362316778144</v>
      </c>
    </row>
    <row r="238" spans="1:8" x14ac:dyDescent="0.2">
      <c r="A238" s="40"/>
      <c r="B238" s="22" t="s">
        <v>191</v>
      </c>
      <c r="C238" s="53" t="s">
        <v>192</v>
      </c>
      <c r="D238" s="77">
        <v>8810</v>
      </c>
      <c r="E238" s="77">
        <f>'Buget 2024'!D238</f>
        <v>48068</v>
      </c>
      <c r="G238" s="122">
        <f t="shared" si="41"/>
        <v>39258</v>
      </c>
      <c r="H238" s="123">
        <f t="shared" si="42"/>
        <v>445.60726447219065</v>
      </c>
    </row>
    <row r="239" spans="1:8" x14ac:dyDescent="0.2">
      <c r="A239" s="22" t="s">
        <v>29</v>
      </c>
      <c r="B239" s="78" t="s">
        <v>72</v>
      </c>
      <c r="C239" s="23" t="s">
        <v>218</v>
      </c>
      <c r="D239" s="24"/>
      <c r="E239" s="24"/>
      <c r="G239" s="122">
        <f t="shared" si="41"/>
        <v>0</v>
      </c>
      <c r="H239" s="123" t="e">
        <f t="shared" si="42"/>
        <v>#DIV/0!</v>
      </c>
    </row>
    <row r="240" spans="1:8" x14ac:dyDescent="0.2">
      <c r="A240" s="22"/>
      <c r="B240" s="22" t="s">
        <v>189</v>
      </c>
      <c r="C240" s="53" t="s">
        <v>190</v>
      </c>
      <c r="D240" s="24">
        <f t="shared" ref="D240:E241" si="43">D243</f>
        <v>0</v>
      </c>
      <c r="E240" s="24">
        <f t="shared" si="43"/>
        <v>40</v>
      </c>
      <c r="G240" s="122">
        <f t="shared" si="41"/>
        <v>40</v>
      </c>
      <c r="H240" s="123" t="e">
        <f t="shared" si="42"/>
        <v>#DIV/0!</v>
      </c>
    </row>
    <row r="241" spans="1:8" x14ac:dyDescent="0.2">
      <c r="A241" s="22"/>
      <c r="B241" s="22" t="s">
        <v>191</v>
      </c>
      <c r="C241" s="53" t="s">
        <v>192</v>
      </c>
      <c r="D241" s="77">
        <f t="shared" si="43"/>
        <v>0</v>
      </c>
      <c r="E241" s="77">
        <f t="shared" si="43"/>
        <v>40</v>
      </c>
      <c r="G241" s="122">
        <f t="shared" si="41"/>
        <v>40</v>
      </c>
      <c r="H241" s="123" t="e">
        <f t="shared" si="42"/>
        <v>#DIV/0!</v>
      </c>
    </row>
    <row r="242" spans="1:8" x14ac:dyDescent="0.2">
      <c r="A242" s="32" t="s">
        <v>29</v>
      </c>
      <c r="B242" s="73" t="s">
        <v>73</v>
      </c>
      <c r="C242" s="33" t="s">
        <v>219</v>
      </c>
      <c r="D242" s="35"/>
      <c r="E242" s="35"/>
      <c r="G242" s="122">
        <f t="shared" si="41"/>
        <v>0</v>
      </c>
      <c r="H242" s="123" t="e">
        <f t="shared" si="42"/>
        <v>#DIV/0!</v>
      </c>
    </row>
    <row r="243" spans="1:8" x14ac:dyDescent="0.2">
      <c r="A243" s="32"/>
      <c r="B243" s="58" t="s">
        <v>189</v>
      </c>
      <c r="C243" s="59" t="s">
        <v>190</v>
      </c>
      <c r="D243" s="27"/>
      <c r="E243" s="28">
        <f>'Buget 2024'!D243</f>
        <v>40</v>
      </c>
      <c r="G243" s="122">
        <f t="shared" si="41"/>
        <v>40</v>
      </c>
      <c r="H243" s="123" t="e">
        <f t="shared" si="42"/>
        <v>#DIV/0!</v>
      </c>
    </row>
    <row r="244" spans="1:8" x14ac:dyDescent="0.2">
      <c r="A244" s="32"/>
      <c r="B244" s="60" t="s">
        <v>191</v>
      </c>
      <c r="C244" s="61" t="s">
        <v>192</v>
      </c>
      <c r="D244" s="27"/>
      <c r="E244" s="28">
        <f>'Buget 2024'!D244</f>
        <v>40</v>
      </c>
      <c r="G244" s="122">
        <f t="shared" si="41"/>
        <v>40</v>
      </c>
      <c r="H244" s="123" t="e">
        <f t="shared" si="42"/>
        <v>#DIV/0!</v>
      </c>
    </row>
    <row r="245" spans="1:8" x14ac:dyDescent="0.2">
      <c r="A245" s="22" t="s">
        <v>29</v>
      </c>
      <c r="B245" s="72" t="s">
        <v>74</v>
      </c>
      <c r="C245" s="23" t="s">
        <v>75</v>
      </c>
      <c r="D245" s="24"/>
      <c r="E245" s="24"/>
      <c r="G245" s="122">
        <f t="shared" si="41"/>
        <v>0</v>
      </c>
      <c r="H245" s="123" t="e">
        <f t="shared" si="42"/>
        <v>#DIV/0!</v>
      </c>
    </row>
    <row r="246" spans="1:8" x14ac:dyDescent="0.2">
      <c r="A246" s="22"/>
      <c r="B246" s="22" t="s">
        <v>189</v>
      </c>
      <c r="C246" s="53" t="s">
        <v>190</v>
      </c>
      <c r="D246" s="24">
        <f t="shared" ref="D246:E247" si="44">D249+D252+D255+D258</f>
        <v>899</v>
      </c>
      <c r="E246" s="24">
        <f t="shared" si="44"/>
        <v>2352</v>
      </c>
      <c r="G246" s="122">
        <f t="shared" si="41"/>
        <v>1453</v>
      </c>
      <c r="H246" s="123">
        <f t="shared" si="42"/>
        <v>161.62402669632925</v>
      </c>
    </row>
    <row r="247" spans="1:8" x14ac:dyDescent="0.2">
      <c r="A247" s="22"/>
      <c r="B247" s="22" t="s">
        <v>191</v>
      </c>
      <c r="C247" s="53" t="s">
        <v>192</v>
      </c>
      <c r="D247" s="24">
        <f t="shared" si="44"/>
        <v>329</v>
      </c>
      <c r="E247" s="24">
        <f t="shared" si="44"/>
        <v>2352</v>
      </c>
      <c r="G247" s="122">
        <f t="shared" si="41"/>
        <v>2023</v>
      </c>
      <c r="H247" s="123">
        <f t="shared" si="42"/>
        <v>614.89361702127655</v>
      </c>
    </row>
    <row r="248" spans="1:8" x14ac:dyDescent="0.2">
      <c r="A248" s="32" t="s">
        <v>29</v>
      </c>
      <c r="B248" s="73" t="s">
        <v>76</v>
      </c>
      <c r="C248" s="33" t="s">
        <v>77</v>
      </c>
      <c r="D248" s="35"/>
      <c r="E248" s="35"/>
      <c r="G248" s="122">
        <f t="shared" si="41"/>
        <v>0</v>
      </c>
      <c r="H248" s="123" t="e">
        <f t="shared" si="42"/>
        <v>#DIV/0!</v>
      </c>
    </row>
    <row r="249" spans="1:8" x14ac:dyDescent="0.2">
      <c r="A249" s="32"/>
      <c r="B249" s="58" t="s">
        <v>189</v>
      </c>
      <c r="C249" s="59" t="s">
        <v>190</v>
      </c>
      <c r="D249" s="27">
        <f>15+1</f>
        <v>16</v>
      </c>
      <c r="E249" s="28">
        <f>'Buget 2024'!D249</f>
        <v>27</v>
      </c>
      <c r="G249" s="122">
        <f t="shared" si="41"/>
        <v>11</v>
      </c>
      <c r="H249" s="123">
        <f t="shared" si="42"/>
        <v>68.75</v>
      </c>
    </row>
    <row r="250" spans="1:8" x14ac:dyDescent="0.2">
      <c r="A250" s="32"/>
      <c r="B250" s="60" t="s">
        <v>191</v>
      </c>
      <c r="C250" s="61" t="s">
        <v>192</v>
      </c>
      <c r="D250" s="27">
        <v>15</v>
      </c>
      <c r="E250" s="28">
        <f>'Buget 2024'!D250</f>
        <v>27</v>
      </c>
      <c r="G250" s="122">
        <f t="shared" si="41"/>
        <v>12</v>
      </c>
      <c r="H250" s="123">
        <f t="shared" si="42"/>
        <v>80</v>
      </c>
    </row>
    <row r="251" spans="1:8" x14ac:dyDescent="0.2">
      <c r="A251" s="32" t="s">
        <v>29</v>
      </c>
      <c r="B251" s="73" t="s">
        <v>78</v>
      </c>
      <c r="C251" s="33" t="s">
        <v>79</v>
      </c>
      <c r="D251" s="34"/>
      <c r="E251" s="35"/>
      <c r="G251" s="122">
        <f t="shared" si="41"/>
        <v>0</v>
      </c>
      <c r="H251" s="123" t="e">
        <f t="shared" si="42"/>
        <v>#DIV/0!</v>
      </c>
    </row>
    <row r="252" spans="1:8" x14ac:dyDescent="0.2">
      <c r="A252" s="32"/>
      <c r="B252" s="58" t="s">
        <v>189</v>
      </c>
      <c r="C252" s="59" t="s">
        <v>190</v>
      </c>
      <c r="D252" s="27">
        <v>10</v>
      </c>
      <c r="E252" s="28">
        <f>'Buget 2024'!D252</f>
        <v>109</v>
      </c>
      <c r="G252" s="122">
        <f t="shared" si="41"/>
        <v>99</v>
      </c>
      <c r="H252" s="123">
        <f t="shared" si="42"/>
        <v>990</v>
      </c>
    </row>
    <row r="253" spans="1:8" x14ac:dyDescent="0.2">
      <c r="A253" s="32"/>
      <c r="B253" s="60" t="s">
        <v>191</v>
      </c>
      <c r="C253" s="61" t="s">
        <v>192</v>
      </c>
      <c r="D253" s="27">
        <v>6</v>
      </c>
      <c r="E253" s="28">
        <f>'Buget 2024'!D253</f>
        <v>109</v>
      </c>
      <c r="G253" s="122">
        <f t="shared" si="41"/>
        <v>103</v>
      </c>
      <c r="H253" s="123">
        <f t="shared" si="42"/>
        <v>1716.6666666666667</v>
      </c>
    </row>
    <row r="254" spans="1:8" x14ac:dyDescent="0.2">
      <c r="A254" s="32" t="s">
        <v>29</v>
      </c>
      <c r="B254" s="73" t="s">
        <v>80</v>
      </c>
      <c r="C254" s="33" t="s">
        <v>81</v>
      </c>
      <c r="D254" s="34"/>
      <c r="E254" s="35"/>
      <c r="G254" s="122">
        <f t="shared" si="41"/>
        <v>0</v>
      </c>
      <c r="H254" s="123" t="e">
        <f t="shared" si="42"/>
        <v>#DIV/0!</v>
      </c>
    </row>
    <row r="255" spans="1:8" x14ac:dyDescent="0.2">
      <c r="A255" s="32"/>
      <c r="B255" s="58" t="s">
        <v>189</v>
      </c>
      <c r="C255" s="59" t="s">
        <v>190</v>
      </c>
      <c r="D255" s="27">
        <v>866</v>
      </c>
      <c r="E255" s="28">
        <f>'Buget 2024'!D255</f>
        <v>2202</v>
      </c>
      <c r="G255" s="122">
        <f t="shared" si="41"/>
        <v>1336</v>
      </c>
      <c r="H255" s="123">
        <f t="shared" si="42"/>
        <v>154.27251732101615</v>
      </c>
    </row>
    <row r="256" spans="1:8" x14ac:dyDescent="0.2">
      <c r="A256" s="32"/>
      <c r="B256" s="60" t="s">
        <v>191</v>
      </c>
      <c r="C256" s="61" t="s">
        <v>192</v>
      </c>
      <c r="D256" s="27">
        <v>301</v>
      </c>
      <c r="E256" s="28">
        <f>'Buget 2024'!D256</f>
        <v>2202</v>
      </c>
      <c r="G256" s="122">
        <f t="shared" si="41"/>
        <v>1901</v>
      </c>
      <c r="H256" s="123">
        <f t="shared" si="42"/>
        <v>631.56146179401992</v>
      </c>
    </row>
    <row r="257" spans="1:8" x14ac:dyDescent="0.2">
      <c r="A257" s="32" t="s">
        <v>29</v>
      </c>
      <c r="B257" s="73" t="s">
        <v>82</v>
      </c>
      <c r="C257" s="33" t="s">
        <v>220</v>
      </c>
      <c r="D257" s="34"/>
      <c r="E257" s="35"/>
      <c r="G257" s="122">
        <f t="shared" si="41"/>
        <v>0</v>
      </c>
      <c r="H257" s="123" t="e">
        <f t="shared" si="42"/>
        <v>#DIV/0!</v>
      </c>
    </row>
    <row r="258" spans="1:8" x14ac:dyDescent="0.2">
      <c r="A258" s="32"/>
      <c r="B258" s="58" t="s">
        <v>189</v>
      </c>
      <c r="C258" s="59" t="s">
        <v>190</v>
      </c>
      <c r="D258" s="27">
        <v>7</v>
      </c>
      <c r="E258" s="28">
        <f>'Buget 2024'!D258</f>
        <v>14</v>
      </c>
      <c r="G258" s="122">
        <f t="shared" si="41"/>
        <v>7</v>
      </c>
      <c r="H258" s="123">
        <f t="shared" si="42"/>
        <v>100</v>
      </c>
    </row>
    <row r="259" spans="1:8" x14ac:dyDescent="0.2">
      <c r="A259" s="32"/>
      <c r="B259" s="60" t="s">
        <v>191</v>
      </c>
      <c r="C259" s="61" t="s">
        <v>192</v>
      </c>
      <c r="D259" s="27">
        <v>7</v>
      </c>
      <c r="E259" s="28">
        <f>'Buget 2024'!D259</f>
        <v>14</v>
      </c>
      <c r="G259" s="122">
        <f t="shared" si="41"/>
        <v>7</v>
      </c>
      <c r="H259" s="123">
        <f t="shared" si="42"/>
        <v>100</v>
      </c>
    </row>
    <row r="260" spans="1:8" x14ac:dyDescent="0.2">
      <c r="A260" s="22" t="s">
        <v>29</v>
      </c>
      <c r="B260" s="72" t="s">
        <v>83</v>
      </c>
      <c r="C260" s="23" t="s">
        <v>84</v>
      </c>
      <c r="D260" s="24"/>
      <c r="E260" s="24"/>
      <c r="G260" s="122">
        <f t="shared" si="41"/>
        <v>0</v>
      </c>
      <c r="H260" s="123" t="e">
        <f t="shared" si="42"/>
        <v>#DIV/0!</v>
      </c>
    </row>
    <row r="261" spans="1:8" x14ac:dyDescent="0.2">
      <c r="A261" s="22"/>
      <c r="B261" s="22" t="s">
        <v>189</v>
      </c>
      <c r="C261" s="53" t="s">
        <v>190</v>
      </c>
      <c r="D261" s="24">
        <f t="shared" ref="D261:E262" si="45">D264+D267+D270</f>
        <v>1883</v>
      </c>
      <c r="E261" s="24">
        <f t="shared" si="45"/>
        <v>7176</v>
      </c>
      <c r="G261" s="122">
        <f t="shared" si="41"/>
        <v>5293</v>
      </c>
      <c r="H261" s="123">
        <f t="shared" si="42"/>
        <v>281.09399893786514</v>
      </c>
    </row>
    <row r="262" spans="1:8" x14ac:dyDescent="0.2">
      <c r="A262" s="22"/>
      <c r="B262" s="22" t="s">
        <v>191</v>
      </c>
      <c r="C262" s="53" t="s">
        <v>192</v>
      </c>
      <c r="D262" s="24">
        <f t="shared" si="45"/>
        <v>1427</v>
      </c>
      <c r="E262" s="24">
        <f t="shared" si="45"/>
        <v>7176</v>
      </c>
      <c r="G262" s="122">
        <f t="shared" si="41"/>
        <v>5749</v>
      </c>
      <c r="H262" s="123">
        <f t="shared" si="42"/>
        <v>402.87316047652422</v>
      </c>
    </row>
    <row r="263" spans="1:8" x14ac:dyDescent="0.2">
      <c r="A263" s="32" t="s">
        <v>29</v>
      </c>
      <c r="B263" s="73" t="s">
        <v>85</v>
      </c>
      <c r="C263" s="33" t="s">
        <v>221</v>
      </c>
      <c r="D263" s="35"/>
      <c r="E263" s="35"/>
      <c r="G263" s="122">
        <f t="shared" si="41"/>
        <v>0</v>
      </c>
      <c r="H263" s="123" t="e">
        <f t="shared" si="42"/>
        <v>#DIV/0!</v>
      </c>
    </row>
    <row r="264" spans="1:8" x14ac:dyDescent="0.2">
      <c r="A264" s="32"/>
      <c r="B264" s="58" t="s">
        <v>189</v>
      </c>
      <c r="C264" s="59" t="s">
        <v>190</v>
      </c>
      <c r="D264" s="27">
        <v>485</v>
      </c>
      <c r="E264" s="28">
        <f>'Buget 2024'!D264</f>
        <v>2948</v>
      </c>
      <c r="G264" s="122">
        <f t="shared" si="41"/>
        <v>2463</v>
      </c>
      <c r="H264" s="123">
        <f t="shared" si="42"/>
        <v>507.8350515463917</v>
      </c>
    </row>
    <row r="265" spans="1:8" x14ac:dyDescent="0.2">
      <c r="A265" s="32"/>
      <c r="B265" s="60" t="s">
        <v>191</v>
      </c>
      <c r="C265" s="61" t="s">
        <v>192</v>
      </c>
      <c r="D265" s="27">
        <v>350</v>
      </c>
      <c r="E265" s="28">
        <f>'Buget 2024'!D265</f>
        <v>2948</v>
      </c>
      <c r="G265" s="122">
        <f t="shared" si="41"/>
        <v>2598</v>
      </c>
      <c r="H265" s="123">
        <f t="shared" si="42"/>
        <v>742.28571428571422</v>
      </c>
    </row>
    <row r="266" spans="1:8" x14ac:dyDescent="0.2">
      <c r="A266" s="32" t="s">
        <v>29</v>
      </c>
      <c r="B266" s="73" t="s">
        <v>86</v>
      </c>
      <c r="C266" s="33" t="s">
        <v>222</v>
      </c>
      <c r="D266" s="34"/>
      <c r="E266" s="35"/>
      <c r="G266" s="122">
        <f t="shared" si="41"/>
        <v>0</v>
      </c>
      <c r="H266" s="123" t="e">
        <f t="shared" si="42"/>
        <v>#DIV/0!</v>
      </c>
    </row>
    <row r="267" spans="1:8" x14ac:dyDescent="0.2">
      <c r="A267" s="32"/>
      <c r="B267" s="58" t="s">
        <v>189</v>
      </c>
      <c r="C267" s="59" t="s">
        <v>190</v>
      </c>
      <c r="D267" s="27">
        <v>22</v>
      </c>
      <c r="E267" s="28">
        <f>'Buget 2024'!D267</f>
        <v>193</v>
      </c>
      <c r="G267" s="122">
        <f t="shared" si="41"/>
        <v>171</v>
      </c>
      <c r="H267" s="123">
        <f t="shared" si="42"/>
        <v>777.27272727272725</v>
      </c>
    </row>
    <row r="268" spans="1:8" x14ac:dyDescent="0.2">
      <c r="A268" s="32"/>
      <c r="B268" s="60" t="s">
        <v>191</v>
      </c>
      <c r="C268" s="61" t="s">
        <v>192</v>
      </c>
      <c r="D268" s="27">
        <v>4</v>
      </c>
      <c r="E268" s="28">
        <f>'Buget 2024'!D268</f>
        <v>193</v>
      </c>
      <c r="G268" s="122">
        <f t="shared" si="41"/>
        <v>189</v>
      </c>
      <c r="H268" s="123">
        <f t="shared" si="42"/>
        <v>4725</v>
      </c>
    </row>
    <row r="269" spans="1:8" x14ac:dyDescent="0.2">
      <c r="A269" s="32" t="s">
        <v>29</v>
      </c>
      <c r="B269" s="73" t="s">
        <v>87</v>
      </c>
      <c r="C269" s="33" t="s">
        <v>88</v>
      </c>
      <c r="D269" s="34"/>
      <c r="E269" s="35"/>
      <c r="G269" s="122">
        <f t="shared" si="41"/>
        <v>0</v>
      </c>
      <c r="H269" s="123" t="e">
        <f t="shared" si="42"/>
        <v>#DIV/0!</v>
      </c>
    </row>
    <row r="270" spans="1:8" x14ac:dyDescent="0.2">
      <c r="A270" s="32"/>
      <c r="B270" s="58" t="s">
        <v>189</v>
      </c>
      <c r="C270" s="59" t="s">
        <v>190</v>
      </c>
      <c r="D270" s="27">
        <v>1376</v>
      </c>
      <c r="E270" s="28">
        <f>'Buget 2024'!D270</f>
        <v>4035</v>
      </c>
      <c r="G270" s="122">
        <f t="shared" si="41"/>
        <v>2659</v>
      </c>
      <c r="H270" s="123">
        <f t="shared" si="42"/>
        <v>193.24127906976744</v>
      </c>
    </row>
    <row r="271" spans="1:8" x14ac:dyDescent="0.2">
      <c r="A271" s="32"/>
      <c r="B271" s="60" t="s">
        <v>191</v>
      </c>
      <c r="C271" s="61" t="s">
        <v>192</v>
      </c>
      <c r="D271" s="27">
        <v>1073</v>
      </c>
      <c r="E271" s="28">
        <f>'Buget 2024'!D271</f>
        <v>4035</v>
      </c>
      <c r="G271" s="122">
        <f t="shared" si="41"/>
        <v>2962</v>
      </c>
      <c r="H271" s="123">
        <f t="shared" si="42"/>
        <v>276.0484622553588</v>
      </c>
    </row>
    <row r="272" spans="1:8" x14ac:dyDescent="0.2">
      <c r="A272" s="22" t="s">
        <v>29</v>
      </c>
      <c r="B272" s="72" t="s">
        <v>89</v>
      </c>
      <c r="C272" s="23" t="s">
        <v>223</v>
      </c>
      <c r="D272" s="24"/>
      <c r="E272" s="24"/>
      <c r="G272" s="122">
        <f t="shared" si="41"/>
        <v>0</v>
      </c>
      <c r="H272" s="123" t="e">
        <f t="shared" si="42"/>
        <v>#DIV/0!</v>
      </c>
    </row>
    <row r="273" spans="1:8" x14ac:dyDescent="0.2">
      <c r="A273" s="22"/>
      <c r="B273" s="22" t="s">
        <v>189</v>
      </c>
      <c r="C273" s="53" t="s">
        <v>190</v>
      </c>
      <c r="D273" s="24">
        <f t="shared" ref="D273:E274" si="46">D276+D279</f>
        <v>1966</v>
      </c>
      <c r="E273" s="24">
        <f t="shared" si="46"/>
        <v>3965</v>
      </c>
      <c r="G273" s="122">
        <f t="shared" si="41"/>
        <v>1999</v>
      </c>
      <c r="H273" s="123">
        <f t="shared" si="42"/>
        <v>101.67853509664293</v>
      </c>
    </row>
    <row r="274" spans="1:8" x14ac:dyDescent="0.2">
      <c r="A274" s="22"/>
      <c r="B274" s="22" t="s">
        <v>191</v>
      </c>
      <c r="C274" s="53" t="s">
        <v>192</v>
      </c>
      <c r="D274" s="24">
        <f t="shared" si="46"/>
        <v>1194</v>
      </c>
      <c r="E274" s="24">
        <f t="shared" si="46"/>
        <v>3965</v>
      </c>
      <c r="G274" s="122">
        <f t="shared" si="41"/>
        <v>2771</v>
      </c>
      <c r="H274" s="123">
        <f t="shared" si="42"/>
        <v>232.07705192629814</v>
      </c>
    </row>
    <row r="275" spans="1:8" x14ac:dyDescent="0.2">
      <c r="A275" s="32" t="s">
        <v>29</v>
      </c>
      <c r="B275" s="73" t="s">
        <v>90</v>
      </c>
      <c r="C275" s="33" t="s">
        <v>224</v>
      </c>
      <c r="D275" s="35"/>
      <c r="E275" s="35"/>
      <c r="G275" s="122">
        <f t="shared" si="41"/>
        <v>0</v>
      </c>
      <c r="H275" s="123" t="e">
        <f t="shared" si="42"/>
        <v>#DIV/0!</v>
      </c>
    </row>
    <row r="276" spans="1:8" x14ac:dyDescent="0.2">
      <c r="A276" s="32"/>
      <c r="B276" s="58" t="s">
        <v>189</v>
      </c>
      <c r="C276" s="59" t="s">
        <v>190</v>
      </c>
      <c r="D276" s="27">
        <v>1775</v>
      </c>
      <c r="E276" s="28">
        <f>'Buget 2024'!D276</f>
        <v>3553</v>
      </c>
      <c r="G276" s="122">
        <f t="shared" si="41"/>
        <v>1778</v>
      </c>
      <c r="H276" s="123">
        <f t="shared" si="42"/>
        <v>100.16901408450704</v>
      </c>
    </row>
    <row r="277" spans="1:8" x14ac:dyDescent="0.2">
      <c r="A277" s="32"/>
      <c r="B277" s="60" t="s">
        <v>191</v>
      </c>
      <c r="C277" s="61" t="s">
        <v>192</v>
      </c>
      <c r="D277" s="27">
        <v>1049</v>
      </c>
      <c r="E277" s="28">
        <f>'Buget 2024'!D277</f>
        <v>3553</v>
      </c>
      <c r="G277" s="122">
        <f t="shared" si="41"/>
        <v>2504</v>
      </c>
      <c r="H277" s="123">
        <f t="shared" si="42"/>
        <v>238.70352716873211</v>
      </c>
    </row>
    <row r="278" spans="1:8" x14ac:dyDescent="0.2">
      <c r="A278" s="32" t="s">
        <v>29</v>
      </c>
      <c r="B278" s="73" t="s">
        <v>91</v>
      </c>
      <c r="C278" s="33" t="s">
        <v>225</v>
      </c>
      <c r="D278" s="34"/>
      <c r="E278" s="35"/>
      <c r="G278" s="122">
        <f t="shared" si="41"/>
        <v>0</v>
      </c>
      <c r="H278" s="123" t="e">
        <f t="shared" si="42"/>
        <v>#DIV/0!</v>
      </c>
    </row>
    <row r="279" spans="1:8" x14ac:dyDescent="0.2">
      <c r="A279" s="32"/>
      <c r="B279" s="58" t="s">
        <v>189</v>
      </c>
      <c r="C279" s="59" t="s">
        <v>190</v>
      </c>
      <c r="D279" s="27">
        <v>191</v>
      </c>
      <c r="E279" s="28">
        <f>'Buget 2024'!D279</f>
        <v>412</v>
      </c>
      <c r="G279" s="122">
        <f t="shared" si="41"/>
        <v>221</v>
      </c>
      <c r="H279" s="123">
        <f t="shared" si="42"/>
        <v>115.70680628272252</v>
      </c>
    </row>
    <row r="280" spans="1:8" x14ac:dyDescent="0.2">
      <c r="A280" s="32"/>
      <c r="B280" s="60" t="s">
        <v>191</v>
      </c>
      <c r="C280" s="61" t="s">
        <v>192</v>
      </c>
      <c r="D280" s="27">
        <v>145</v>
      </c>
      <c r="E280" s="28">
        <f>'Buget 2024'!D280</f>
        <v>412</v>
      </c>
      <c r="G280" s="122">
        <f t="shared" si="41"/>
        <v>267</v>
      </c>
      <c r="H280" s="123">
        <f t="shared" si="42"/>
        <v>184.13793103448276</v>
      </c>
    </row>
    <row r="281" spans="1:8" x14ac:dyDescent="0.2">
      <c r="A281" s="40" t="s">
        <v>29</v>
      </c>
      <c r="B281" s="76" t="s">
        <v>92</v>
      </c>
      <c r="C281" s="41" t="s">
        <v>93</v>
      </c>
      <c r="D281" s="77"/>
      <c r="E281" s="77"/>
      <c r="G281" s="122">
        <f t="shared" ref="G281:G344" si="47">E281-D281</f>
        <v>0</v>
      </c>
      <c r="H281" s="123" t="e">
        <f t="shared" ref="H281:H344" si="48">G281/D281*100</f>
        <v>#DIV/0!</v>
      </c>
    </row>
    <row r="282" spans="1:8" x14ac:dyDescent="0.2">
      <c r="A282" s="40"/>
      <c r="B282" s="22" t="s">
        <v>189</v>
      </c>
      <c r="C282" s="53" t="s">
        <v>190</v>
      </c>
      <c r="D282" s="77">
        <v>765</v>
      </c>
      <c r="E282" s="77">
        <f>'Buget 2024'!D282</f>
        <v>2140</v>
      </c>
      <c r="G282" s="122">
        <f t="shared" si="47"/>
        <v>1375</v>
      </c>
      <c r="H282" s="123">
        <f t="shared" si="48"/>
        <v>179.73856209150327</v>
      </c>
    </row>
    <row r="283" spans="1:8" x14ac:dyDescent="0.2">
      <c r="A283" s="40"/>
      <c r="B283" s="22" t="s">
        <v>191</v>
      </c>
      <c r="C283" s="53" t="s">
        <v>192</v>
      </c>
      <c r="D283" s="77">
        <v>304</v>
      </c>
      <c r="E283" s="77">
        <f>'Buget 2024'!D283</f>
        <v>2140</v>
      </c>
      <c r="G283" s="122">
        <f t="shared" si="47"/>
        <v>1836</v>
      </c>
      <c r="H283" s="123">
        <f t="shared" si="48"/>
        <v>603.9473684210526</v>
      </c>
    </row>
    <row r="284" spans="1:8" x14ac:dyDescent="0.2">
      <c r="A284" s="40" t="s">
        <v>29</v>
      </c>
      <c r="B284" s="76" t="s">
        <v>94</v>
      </c>
      <c r="C284" s="41" t="s">
        <v>226</v>
      </c>
      <c r="D284" s="77"/>
      <c r="E284" s="77"/>
      <c r="G284" s="122">
        <f t="shared" si="47"/>
        <v>0</v>
      </c>
      <c r="H284" s="123" t="e">
        <f t="shared" si="48"/>
        <v>#DIV/0!</v>
      </c>
    </row>
    <row r="285" spans="1:8" x14ac:dyDescent="0.2">
      <c r="A285" s="40"/>
      <c r="B285" s="22" t="s">
        <v>189</v>
      </c>
      <c r="C285" s="53" t="s">
        <v>190</v>
      </c>
      <c r="D285" s="77">
        <v>118</v>
      </c>
      <c r="E285" s="77">
        <f>'Buget 2024'!D285</f>
        <v>405</v>
      </c>
      <c r="G285" s="122">
        <f t="shared" si="47"/>
        <v>287</v>
      </c>
      <c r="H285" s="123">
        <f t="shared" si="48"/>
        <v>243.22033898305085</v>
      </c>
    </row>
    <row r="286" spans="1:8" x14ac:dyDescent="0.2">
      <c r="A286" s="40"/>
      <c r="B286" s="22" t="s">
        <v>191</v>
      </c>
      <c r="C286" s="53" t="s">
        <v>192</v>
      </c>
      <c r="D286" s="77">
        <v>101</v>
      </c>
      <c r="E286" s="77">
        <f>'Buget 2024'!D286</f>
        <v>405</v>
      </c>
      <c r="G286" s="122">
        <f t="shared" si="47"/>
        <v>304</v>
      </c>
      <c r="H286" s="123">
        <f t="shared" si="48"/>
        <v>300.99009900990097</v>
      </c>
    </row>
    <row r="287" spans="1:8" x14ac:dyDescent="0.2">
      <c r="A287" s="40" t="s">
        <v>29</v>
      </c>
      <c r="B287" s="76" t="s">
        <v>95</v>
      </c>
      <c r="C287" s="41" t="s">
        <v>227</v>
      </c>
      <c r="D287" s="77"/>
      <c r="E287" s="77"/>
      <c r="G287" s="122">
        <f t="shared" si="47"/>
        <v>0</v>
      </c>
      <c r="H287" s="123" t="e">
        <f t="shared" si="48"/>
        <v>#DIV/0!</v>
      </c>
    </row>
    <row r="288" spans="1:8" x14ac:dyDescent="0.2">
      <c r="A288" s="40"/>
      <c r="B288" s="22" t="s">
        <v>189</v>
      </c>
      <c r="C288" s="53" t="s">
        <v>190</v>
      </c>
      <c r="D288" s="77">
        <v>1416</v>
      </c>
      <c r="E288" s="77">
        <f>'Buget 2024'!D288</f>
        <v>5538</v>
      </c>
      <c r="G288" s="122">
        <f t="shared" si="47"/>
        <v>4122</v>
      </c>
      <c r="H288" s="123">
        <f t="shared" si="48"/>
        <v>291.10169491525426</v>
      </c>
    </row>
    <row r="289" spans="1:8" x14ac:dyDescent="0.2">
      <c r="A289" s="40"/>
      <c r="B289" s="22" t="s">
        <v>191</v>
      </c>
      <c r="C289" s="53" t="s">
        <v>192</v>
      </c>
      <c r="D289" s="77">
        <v>950</v>
      </c>
      <c r="E289" s="77">
        <f>'Buget 2024'!D289</f>
        <v>5538</v>
      </c>
      <c r="G289" s="122">
        <f t="shared" si="47"/>
        <v>4588</v>
      </c>
      <c r="H289" s="123">
        <f t="shared" si="48"/>
        <v>482.94736842105266</v>
      </c>
    </row>
    <row r="290" spans="1:8" x14ac:dyDescent="0.2">
      <c r="A290" s="40" t="s">
        <v>29</v>
      </c>
      <c r="B290" s="76" t="s">
        <v>96</v>
      </c>
      <c r="C290" s="41" t="s">
        <v>228</v>
      </c>
      <c r="D290" s="77"/>
      <c r="E290" s="77"/>
      <c r="G290" s="122">
        <f t="shared" si="47"/>
        <v>0</v>
      </c>
      <c r="H290" s="123" t="e">
        <f t="shared" si="48"/>
        <v>#DIV/0!</v>
      </c>
    </row>
    <row r="291" spans="1:8" x14ac:dyDescent="0.2">
      <c r="A291" s="40"/>
      <c r="B291" s="22" t="s">
        <v>189</v>
      </c>
      <c r="C291" s="53" t="s">
        <v>190</v>
      </c>
      <c r="D291" s="77">
        <v>677</v>
      </c>
      <c r="E291" s="77">
        <f>'Buget 2024'!D291</f>
        <v>2740</v>
      </c>
      <c r="G291" s="122">
        <f t="shared" si="47"/>
        <v>2063</v>
      </c>
      <c r="H291" s="123">
        <f t="shared" si="48"/>
        <v>304.72673559822749</v>
      </c>
    </row>
    <row r="292" spans="1:8" x14ac:dyDescent="0.2">
      <c r="A292" s="40"/>
      <c r="B292" s="22" t="s">
        <v>191</v>
      </c>
      <c r="C292" s="53" t="s">
        <v>192</v>
      </c>
      <c r="D292" s="77">
        <v>104</v>
      </c>
      <c r="E292" s="77">
        <f>'Buget 2024'!D292</f>
        <v>2740</v>
      </c>
      <c r="G292" s="122">
        <f t="shared" si="47"/>
        <v>2636</v>
      </c>
      <c r="H292" s="123">
        <f t="shared" si="48"/>
        <v>2534.6153846153848</v>
      </c>
    </row>
    <row r="293" spans="1:8" x14ac:dyDescent="0.2">
      <c r="A293" s="40" t="s">
        <v>29</v>
      </c>
      <c r="B293" s="76" t="s">
        <v>97</v>
      </c>
      <c r="C293" s="41" t="s">
        <v>229</v>
      </c>
      <c r="D293" s="77"/>
      <c r="E293" s="77"/>
      <c r="G293" s="122">
        <f t="shared" si="47"/>
        <v>0</v>
      </c>
      <c r="H293" s="123" t="e">
        <f t="shared" si="48"/>
        <v>#DIV/0!</v>
      </c>
    </row>
    <row r="294" spans="1:8" x14ac:dyDescent="0.2">
      <c r="A294" s="40"/>
      <c r="B294" s="22" t="s">
        <v>189</v>
      </c>
      <c r="C294" s="53" t="s">
        <v>190</v>
      </c>
      <c r="D294" s="77">
        <v>1405</v>
      </c>
      <c r="E294" s="77">
        <f>'Buget 2024'!D294</f>
        <v>2907</v>
      </c>
      <c r="G294" s="122">
        <f t="shared" si="47"/>
        <v>1502</v>
      </c>
      <c r="H294" s="123">
        <f t="shared" si="48"/>
        <v>106.90391459074733</v>
      </c>
    </row>
    <row r="295" spans="1:8" x14ac:dyDescent="0.2">
      <c r="A295" s="40"/>
      <c r="B295" s="22" t="s">
        <v>191</v>
      </c>
      <c r="C295" s="53" t="s">
        <v>192</v>
      </c>
      <c r="D295" s="77">
        <v>747</v>
      </c>
      <c r="E295" s="77">
        <f>'Buget 2024'!D295</f>
        <v>2907</v>
      </c>
      <c r="G295" s="122">
        <f t="shared" si="47"/>
        <v>2160</v>
      </c>
      <c r="H295" s="123">
        <f t="shared" si="48"/>
        <v>289.15662650602411</v>
      </c>
    </row>
    <row r="296" spans="1:8" x14ac:dyDescent="0.2">
      <c r="A296" s="40" t="s">
        <v>29</v>
      </c>
      <c r="B296" s="76" t="s">
        <v>98</v>
      </c>
      <c r="C296" s="41" t="s">
        <v>230</v>
      </c>
      <c r="D296" s="77"/>
      <c r="E296" s="77"/>
      <c r="G296" s="122">
        <f t="shared" si="47"/>
        <v>0</v>
      </c>
      <c r="H296" s="123" t="e">
        <f t="shared" si="48"/>
        <v>#DIV/0!</v>
      </c>
    </row>
    <row r="297" spans="1:8" x14ac:dyDescent="0.2">
      <c r="A297" s="40"/>
      <c r="B297" s="22" t="s">
        <v>189</v>
      </c>
      <c r="C297" s="53" t="s">
        <v>190</v>
      </c>
      <c r="D297" s="77">
        <f>3603+1</f>
        <v>3604</v>
      </c>
      <c r="E297" s="77">
        <f>'Buget 2024'!D297</f>
        <v>6810</v>
      </c>
      <c r="G297" s="122">
        <f t="shared" si="47"/>
        <v>3206</v>
      </c>
      <c r="H297" s="123">
        <f t="shared" si="48"/>
        <v>88.956714761376247</v>
      </c>
    </row>
    <row r="298" spans="1:8" x14ac:dyDescent="0.2">
      <c r="A298" s="40"/>
      <c r="B298" s="22" t="s">
        <v>191</v>
      </c>
      <c r="C298" s="53" t="s">
        <v>192</v>
      </c>
      <c r="D298" s="77">
        <v>234</v>
      </c>
      <c r="E298" s="77">
        <f>'Buget 2024'!D298</f>
        <v>6810</v>
      </c>
      <c r="G298" s="122">
        <f t="shared" si="47"/>
        <v>6576</v>
      </c>
      <c r="H298" s="123">
        <f t="shared" si="48"/>
        <v>2810.2564102564102</v>
      </c>
    </row>
    <row r="299" spans="1:8" x14ac:dyDescent="0.2">
      <c r="A299" s="40" t="s">
        <v>29</v>
      </c>
      <c r="B299" s="76" t="s">
        <v>99</v>
      </c>
      <c r="C299" s="41" t="s">
        <v>231</v>
      </c>
      <c r="D299" s="77"/>
      <c r="E299" s="77"/>
      <c r="G299" s="122">
        <f t="shared" si="47"/>
        <v>0</v>
      </c>
      <c r="H299" s="123" t="e">
        <f t="shared" si="48"/>
        <v>#DIV/0!</v>
      </c>
    </row>
    <row r="300" spans="1:8" x14ac:dyDescent="0.2">
      <c r="A300" s="40"/>
      <c r="B300" s="22" t="s">
        <v>189</v>
      </c>
      <c r="C300" s="53" t="s">
        <v>190</v>
      </c>
      <c r="D300" s="77"/>
      <c r="E300" s="77">
        <f>'Buget 2024'!D300</f>
        <v>2190</v>
      </c>
      <c r="G300" s="122">
        <f t="shared" si="47"/>
        <v>2190</v>
      </c>
      <c r="H300" s="123" t="e">
        <f t="shared" si="48"/>
        <v>#DIV/0!</v>
      </c>
    </row>
    <row r="301" spans="1:8" x14ac:dyDescent="0.2">
      <c r="A301" s="40"/>
      <c r="B301" s="22" t="s">
        <v>191</v>
      </c>
      <c r="C301" s="53" t="s">
        <v>192</v>
      </c>
      <c r="D301" s="77"/>
      <c r="E301" s="77">
        <f>'Buget 2024'!D301</f>
        <v>2190</v>
      </c>
      <c r="G301" s="122">
        <f t="shared" si="47"/>
        <v>2190</v>
      </c>
      <c r="H301" s="123" t="e">
        <f t="shared" si="48"/>
        <v>#DIV/0!</v>
      </c>
    </row>
    <row r="302" spans="1:8" x14ac:dyDescent="0.2">
      <c r="A302" s="40" t="s">
        <v>29</v>
      </c>
      <c r="B302" s="76" t="s">
        <v>100</v>
      </c>
      <c r="C302" s="41" t="s">
        <v>232</v>
      </c>
      <c r="D302" s="77"/>
      <c r="E302" s="77"/>
      <c r="G302" s="122">
        <f t="shared" si="47"/>
        <v>0</v>
      </c>
      <c r="H302" s="123" t="e">
        <f t="shared" si="48"/>
        <v>#DIV/0!</v>
      </c>
    </row>
    <row r="303" spans="1:8" x14ac:dyDescent="0.2">
      <c r="A303" s="40"/>
      <c r="B303" s="22" t="s">
        <v>189</v>
      </c>
      <c r="C303" s="53" t="s">
        <v>190</v>
      </c>
      <c r="D303" s="77">
        <v>433</v>
      </c>
      <c r="E303" s="77">
        <f>'Buget 2024'!D303</f>
        <v>2963</v>
      </c>
      <c r="G303" s="122">
        <f t="shared" si="47"/>
        <v>2530</v>
      </c>
      <c r="H303" s="123">
        <f t="shared" si="48"/>
        <v>584.29561200923786</v>
      </c>
    </row>
    <row r="304" spans="1:8" x14ac:dyDescent="0.2">
      <c r="A304" s="40"/>
      <c r="B304" s="22" t="s">
        <v>191</v>
      </c>
      <c r="C304" s="53" t="s">
        <v>192</v>
      </c>
      <c r="D304" s="77">
        <v>433</v>
      </c>
      <c r="E304" s="77">
        <f>'Buget 2024'!D304</f>
        <v>2963</v>
      </c>
      <c r="G304" s="122">
        <f t="shared" si="47"/>
        <v>2530</v>
      </c>
      <c r="H304" s="123">
        <f t="shared" si="48"/>
        <v>584.29561200923786</v>
      </c>
    </row>
    <row r="305" spans="1:8" hidden="1" x14ac:dyDescent="0.2">
      <c r="A305" s="22" t="s">
        <v>29</v>
      </c>
      <c r="B305" s="72" t="s">
        <v>101</v>
      </c>
      <c r="C305" s="23" t="s">
        <v>233</v>
      </c>
      <c r="D305" s="24"/>
      <c r="E305" s="24"/>
      <c r="G305" s="122">
        <f t="shared" si="47"/>
        <v>0</v>
      </c>
      <c r="H305" s="123" t="e">
        <f t="shared" si="48"/>
        <v>#DIV/0!</v>
      </c>
    </row>
    <row r="306" spans="1:8" hidden="1" x14ac:dyDescent="0.2">
      <c r="A306" s="22"/>
      <c r="B306" s="22" t="s">
        <v>189</v>
      </c>
      <c r="C306" s="53" t="s">
        <v>190</v>
      </c>
      <c r="D306" s="24">
        <v>0</v>
      </c>
      <c r="E306" s="24">
        <f t="shared" ref="E306:E307" si="49">E309</f>
        <v>0</v>
      </c>
      <c r="G306" s="122">
        <f t="shared" si="47"/>
        <v>0</v>
      </c>
      <c r="H306" s="123" t="e">
        <f t="shared" si="48"/>
        <v>#DIV/0!</v>
      </c>
    </row>
    <row r="307" spans="1:8" hidden="1" x14ac:dyDescent="0.2">
      <c r="A307" s="22"/>
      <c r="B307" s="22" t="s">
        <v>191</v>
      </c>
      <c r="C307" s="53" t="s">
        <v>192</v>
      </c>
      <c r="D307" s="24">
        <v>0</v>
      </c>
      <c r="E307" s="24">
        <f t="shared" si="49"/>
        <v>0</v>
      </c>
      <c r="G307" s="122">
        <f t="shared" si="47"/>
        <v>0</v>
      </c>
      <c r="H307" s="123" t="e">
        <f t="shared" si="48"/>
        <v>#DIV/0!</v>
      </c>
    </row>
    <row r="308" spans="1:8" hidden="1" x14ac:dyDescent="0.2">
      <c r="A308" s="32" t="s">
        <v>29</v>
      </c>
      <c r="B308" s="73" t="s">
        <v>102</v>
      </c>
      <c r="C308" s="33" t="s">
        <v>234</v>
      </c>
      <c r="D308" s="28"/>
      <c r="E308" s="28"/>
      <c r="G308" s="122">
        <f t="shared" si="47"/>
        <v>0</v>
      </c>
      <c r="H308" s="123" t="e">
        <f t="shared" si="48"/>
        <v>#DIV/0!</v>
      </c>
    </row>
    <row r="309" spans="1:8" hidden="1" x14ac:dyDescent="0.2">
      <c r="A309" s="32"/>
      <c r="B309" s="58" t="s">
        <v>189</v>
      </c>
      <c r="C309" s="59" t="s">
        <v>190</v>
      </c>
      <c r="D309" s="27"/>
      <c r="E309" s="28">
        <f>'Buget 2024'!D309</f>
        <v>0</v>
      </c>
      <c r="G309" s="122">
        <f t="shared" si="47"/>
        <v>0</v>
      </c>
      <c r="H309" s="123" t="e">
        <f t="shared" si="48"/>
        <v>#DIV/0!</v>
      </c>
    </row>
    <row r="310" spans="1:8" hidden="1" x14ac:dyDescent="0.2">
      <c r="A310" s="32"/>
      <c r="B310" s="60" t="s">
        <v>191</v>
      </c>
      <c r="C310" s="61" t="s">
        <v>192</v>
      </c>
      <c r="D310" s="27"/>
      <c r="E310" s="28">
        <f>'Buget 2024'!D310</f>
        <v>0</v>
      </c>
      <c r="G310" s="122">
        <f t="shared" si="47"/>
        <v>0</v>
      </c>
      <c r="H310" s="123" t="e">
        <f t="shared" si="48"/>
        <v>#DIV/0!</v>
      </c>
    </row>
    <row r="311" spans="1:8" ht="25.5" x14ac:dyDescent="0.2">
      <c r="A311" s="40" t="s">
        <v>29</v>
      </c>
      <c r="B311" s="76" t="s">
        <v>103</v>
      </c>
      <c r="C311" s="41" t="s">
        <v>235</v>
      </c>
      <c r="D311" s="24"/>
      <c r="E311" s="24"/>
      <c r="G311" s="122">
        <f t="shared" si="47"/>
        <v>0</v>
      </c>
      <c r="H311" s="123" t="e">
        <f t="shared" si="48"/>
        <v>#DIV/0!</v>
      </c>
    </row>
    <row r="312" spans="1:8" x14ac:dyDescent="0.2">
      <c r="A312" s="40"/>
      <c r="B312" s="22" t="s">
        <v>189</v>
      </c>
      <c r="C312" s="53" t="s">
        <v>190</v>
      </c>
      <c r="D312" s="24">
        <v>2870</v>
      </c>
      <c r="E312" s="24">
        <f>'Buget 2024'!D312</f>
        <v>5258</v>
      </c>
      <c r="G312" s="122">
        <f t="shared" si="47"/>
        <v>2388</v>
      </c>
      <c r="H312" s="123">
        <f t="shared" si="48"/>
        <v>83.20557491289199</v>
      </c>
    </row>
    <row r="313" spans="1:8" x14ac:dyDescent="0.2">
      <c r="A313" s="40"/>
      <c r="B313" s="22" t="s">
        <v>191</v>
      </c>
      <c r="C313" s="53" t="s">
        <v>192</v>
      </c>
      <c r="D313" s="24">
        <v>2582</v>
      </c>
      <c r="E313" s="24">
        <f>'Buget 2024'!D313</f>
        <v>5258</v>
      </c>
      <c r="G313" s="122">
        <f t="shared" si="47"/>
        <v>2676</v>
      </c>
      <c r="H313" s="123">
        <f t="shared" si="48"/>
        <v>103.64058869093726</v>
      </c>
    </row>
    <row r="314" spans="1:8" x14ac:dyDescent="0.2">
      <c r="A314" s="22" t="s">
        <v>29</v>
      </c>
      <c r="B314" s="72" t="s">
        <v>104</v>
      </c>
      <c r="C314" s="23" t="s">
        <v>105</v>
      </c>
      <c r="D314" s="24"/>
      <c r="E314" s="24"/>
      <c r="G314" s="122">
        <f t="shared" si="47"/>
        <v>0</v>
      </c>
      <c r="H314" s="123" t="e">
        <f t="shared" si="48"/>
        <v>#DIV/0!</v>
      </c>
    </row>
    <row r="315" spans="1:8" x14ac:dyDescent="0.2">
      <c r="A315" s="22"/>
      <c r="B315" s="22" t="s">
        <v>189</v>
      </c>
      <c r="C315" s="53" t="s">
        <v>190</v>
      </c>
      <c r="D315" s="24">
        <f t="shared" ref="D315:E316" si="50">D318+D321+D324+D327+D330+D333</f>
        <v>160539</v>
      </c>
      <c r="E315" s="24">
        <f t="shared" si="50"/>
        <v>241415</v>
      </c>
      <c r="G315" s="122">
        <f t="shared" si="47"/>
        <v>80876</v>
      </c>
      <c r="H315" s="123">
        <f t="shared" si="48"/>
        <v>50.377789820542048</v>
      </c>
    </row>
    <row r="316" spans="1:8" x14ac:dyDescent="0.2">
      <c r="A316" s="22"/>
      <c r="B316" s="22" t="s">
        <v>191</v>
      </c>
      <c r="C316" s="53" t="s">
        <v>192</v>
      </c>
      <c r="D316" s="24">
        <f t="shared" si="50"/>
        <v>154113</v>
      </c>
      <c r="E316" s="24">
        <f t="shared" si="50"/>
        <v>241415</v>
      </c>
      <c r="G316" s="122">
        <f t="shared" si="47"/>
        <v>87302</v>
      </c>
      <c r="H316" s="123">
        <f t="shared" si="48"/>
        <v>56.648043967737962</v>
      </c>
    </row>
    <row r="317" spans="1:8" x14ac:dyDescent="0.2">
      <c r="A317" s="32" t="s">
        <v>29</v>
      </c>
      <c r="B317" s="73" t="s">
        <v>106</v>
      </c>
      <c r="C317" s="33" t="s">
        <v>236</v>
      </c>
      <c r="D317" s="35"/>
      <c r="E317" s="35"/>
      <c r="G317" s="122">
        <f t="shared" si="47"/>
        <v>0</v>
      </c>
      <c r="H317" s="123" t="e">
        <f t="shared" si="48"/>
        <v>#DIV/0!</v>
      </c>
    </row>
    <row r="318" spans="1:8" x14ac:dyDescent="0.2">
      <c r="A318" s="32"/>
      <c r="B318" s="58" t="s">
        <v>189</v>
      </c>
      <c r="C318" s="59" t="s">
        <v>190</v>
      </c>
      <c r="D318" s="27">
        <v>658</v>
      </c>
      <c r="E318" s="28">
        <f>'Buget 2024'!D318</f>
        <v>1636</v>
      </c>
      <c r="G318" s="122">
        <f t="shared" si="47"/>
        <v>978</v>
      </c>
      <c r="H318" s="123">
        <f t="shared" si="48"/>
        <v>148.63221884498481</v>
      </c>
    </row>
    <row r="319" spans="1:8" x14ac:dyDescent="0.2">
      <c r="A319" s="32"/>
      <c r="B319" s="60" t="s">
        <v>191</v>
      </c>
      <c r="C319" s="61" t="s">
        <v>192</v>
      </c>
      <c r="D319" s="27">
        <v>345</v>
      </c>
      <c r="E319" s="28">
        <f>'Buget 2024'!D319</f>
        <v>1636</v>
      </c>
      <c r="G319" s="122">
        <f t="shared" si="47"/>
        <v>1291</v>
      </c>
      <c r="H319" s="123">
        <f t="shared" si="48"/>
        <v>374.20289855072463</v>
      </c>
    </row>
    <row r="320" spans="1:8" x14ac:dyDescent="0.2">
      <c r="A320" s="32" t="s">
        <v>29</v>
      </c>
      <c r="B320" s="73" t="s">
        <v>107</v>
      </c>
      <c r="C320" s="33" t="s">
        <v>237</v>
      </c>
      <c r="D320" s="34"/>
      <c r="E320" s="35"/>
      <c r="G320" s="122">
        <f t="shared" si="47"/>
        <v>0</v>
      </c>
      <c r="H320" s="123" t="e">
        <f t="shared" si="48"/>
        <v>#DIV/0!</v>
      </c>
    </row>
    <row r="321" spans="1:8" x14ac:dyDescent="0.2">
      <c r="A321" s="32"/>
      <c r="B321" s="58" t="s">
        <v>189</v>
      </c>
      <c r="C321" s="59" t="s">
        <v>190</v>
      </c>
      <c r="D321" s="27">
        <v>716</v>
      </c>
      <c r="E321" s="28">
        <f>'Buget 2024'!D321</f>
        <v>1979</v>
      </c>
      <c r="G321" s="122">
        <f t="shared" si="47"/>
        <v>1263</v>
      </c>
      <c r="H321" s="123">
        <f t="shared" si="48"/>
        <v>176.39664804469274</v>
      </c>
    </row>
    <row r="322" spans="1:8" x14ac:dyDescent="0.2">
      <c r="A322" s="32"/>
      <c r="B322" s="60" t="s">
        <v>191</v>
      </c>
      <c r="C322" s="61" t="s">
        <v>192</v>
      </c>
      <c r="D322" s="27">
        <v>624</v>
      </c>
      <c r="E322" s="28">
        <f>'Buget 2024'!D322</f>
        <v>1979</v>
      </c>
      <c r="G322" s="122">
        <f t="shared" si="47"/>
        <v>1355</v>
      </c>
      <c r="H322" s="123">
        <f t="shared" si="48"/>
        <v>217.14743589743591</v>
      </c>
    </row>
    <row r="323" spans="1:8" x14ac:dyDescent="0.2">
      <c r="A323" s="32" t="s">
        <v>29</v>
      </c>
      <c r="B323" s="73" t="s">
        <v>108</v>
      </c>
      <c r="C323" s="33" t="s">
        <v>238</v>
      </c>
      <c r="D323" s="34"/>
      <c r="E323" s="35"/>
      <c r="G323" s="122">
        <f t="shared" si="47"/>
        <v>0</v>
      </c>
      <c r="H323" s="123" t="e">
        <f t="shared" si="48"/>
        <v>#DIV/0!</v>
      </c>
    </row>
    <row r="324" spans="1:8" x14ac:dyDescent="0.2">
      <c r="A324" s="32"/>
      <c r="B324" s="58" t="s">
        <v>189</v>
      </c>
      <c r="C324" s="59" t="s">
        <v>190</v>
      </c>
      <c r="D324" s="27">
        <v>1992</v>
      </c>
      <c r="E324" s="28">
        <f>'Buget 2024'!D324</f>
        <v>3896</v>
      </c>
      <c r="G324" s="122">
        <f t="shared" si="47"/>
        <v>1904</v>
      </c>
      <c r="H324" s="123">
        <f t="shared" si="48"/>
        <v>95.582329317269071</v>
      </c>
    </row>
    <row r="325" spans="1:8" x14ac:dyDescent="0.2">
      <c r="A325" s="32"/>
      <c r="B325" s="60" t="s">
        <v>191</v>
      </c>
      <c r="C325" s="61" t="s">
        <v>192</v>
      </c>
      <c r="D325" s="27">
        <v>1239</v>
      </c>
      <c r="E325" s="28">
        <f>'Buget 2024'!D325</f>
        <v>3896</v>
      </c>
      <c r="G325" s="122">
        <f t="shared" si="47"/>
        <v>2657</v>
      </c>
      <c r="H325" s="123">
        <f t="shared" si="48"/>
        <v>214.44713478611783</v>
      </c>
    </row>
    <row r="326" spans="1:8" x14ac:dyDescent="0.2">
      <c r="A326" s="32" t="s">
        <v>29</v>
      </c>
      <c r="B326" s="73" t="s">
        <v>109</v>
      </c>
      <c r="C326" s="33" t="s">
        <v>110</v>
      </c>
      <c r="D326" s="34"/>
      <c r="E326" s="35"/>
      <c r="G326" s="122">
        <f t="shared" si="47"/>
        <v>0</v>
      </c>
      <c r="H326" s="123" t="e">
        <f t="shared" si="48"/>
        <v>#DIV/0!</v>
      </c>
    </row>
    <row r="327" spans="1:8" x14ac:dyDescent="0.2">
      <c r="A327" s="32"/>
      <c r="B327" s="58" t="s">
        <v>189</v>
      </c>
      <c r="C327" s="59" t="s">
        <v>190</v>
      </c>
      <c r="D327" s="27">
        <v>3711</v>
      </c>
      <c r="E327" s="28">
        <f>'Buget 2024'!D327</f>
        <v>4811</v>
      </c>
      <c r="G327" s="122">
        <f t="shared" si="47"/>
        <v>1100</v>
      </c>
      <c r="H327" s="123">
        <f t="shared" si="48"/>
        <v>29.641606036108865</v>
      </c>
    </row>
    <row r="328" spans="1:8" x14ac:dyDescent="0.2">
      <c r="A328" s="32"/>
      <c r="B328" s="60" t="s">
        <v>191</v>
      </c>
      <c r="C328" s="61" t="s">
        <v>192</v>
      </c>
      <c r="D328" s="27">
        <v>2188</v>
      </c>
      <c r="E328" s="28">
        <f>'Buget 2024'!D328</f>
        <v>4811</v>
      </c>
      <c r="G328" s="122">
        <f t="shared" si="47"/>
        <v>2623</v>
      </c>
      <c r="H328" s="123">
        <f t="shared" si="48"/>
        <v>119.88117001828154</v>
      </c>
    </row>
    <row r="329" spans="1:8" x14ac:dyDescent="0.2">
      <c r="A329" s="32" t="s">
        <v>29</v>
      </c>
      <c r="B329" s="73" t="s">
        <v>111</v>
      </c>
      <c r="C329" s="33" t="s">
        <v>239</v>
      </c>
      <c r="D329" s="34"/>
      <c r="E329" s="35"/>
      <c r="G329" s="122">
        <f t="shared" si="47"/>
        <v>0</v>
      </c>
      <c r="H329" s="123" t="e">
        <f t="shared" si="48"/>
        <v>#DIV/0!</v>
      </c>
    </row>
    <row r="330" spans="1:8" x14ac:dyDescent="0.2">
      <c r="A330" s="32"/>
      <c r="B330" s="58" t="s">
        <v>189</v>
      </c>
      <c r="C330" s="59" t="s">
        <v>190</v>
      </c>
      <c r="D330" s="27">
        <v>1</v>
      </c>
      <c r="E330" s="28">
        <f>'Buget 2024'!D330</f>
        <v>17</v>
      </c>
      <c r="G330" s="122">
        <f t="shared" si="47"/>
        <v>16</v>
      </c>
      <c r="H330" s="123">
        <f t="shared" si="48"/>
        <v>1600</v>
      </c>
    </row>
    <row r="331" spans="1:8" x14ac:dyDescent="0.2">
      <c r="A331" s="32"/>
      <c r="B331" s="60" t="s">
        <v>191</v>
      </c>
      <c r="C331" s="61" t="s">
        <v>192</v>
      </c>
      <c r="D331" s="27">
        <v>1</v>
      </c>
      <c r="E331" s="28">
        <f>'Buget 2024'!D331</f>
        <v>17</v>
      </c>
      <c r="G331" s="122">
        <f t="shared" si="47"/>
        <v>16</v>
      </c>
      <c r="H331" s="123">
        <f t="shared" si="48"/>
        <v>1600</v>
      </c>
    </row>
    <row r="332" spans="1:8" x14ac:dyDescent="0.2">
      <c r="A332" s="32" t="s">
        <v>29</v>
      </c>
      <c r="B332" s="73" t="s">
        <v>112</v>
      </c>
      <c r="C332" s="33" t="s">
        <v>181</v>
      </c>
      <c r="D332" s="34"/>
      <c r="E332" s="35"/>
      <c r="G332" s="122">
        <f t="shared" si="47"/>
        <v>0</v>
      </c>
      <c r="H332" s="123" t="e">
        <f t="shared" si="48"/>
        <v>#DIV/0!</v>
      </c>
    </row>
    <row r="333" spans="1:8" x14ac:dyDescent="0.2">
      <c r="A333" s="32"/>
      <c r="B333" s="58" t="s">
        <v>189</v>
      </c>
      <c r="C333" s="59" t="s">
        <v>190</v>
      </c>
      <c r="D333" s="27">
        <v>153461</v>
      </c>
      <c r="E333" s="28">
        <f>'Buget 2024'!D333</f>
        <v>229076</v>
      </c>
      <c r="G333" s="122">
        <f t="shared" si="47"/>
        <v>75615</v>
      </c>
      <c r="H333" s="123">
        <f t="shared" si="48"/>
        <v>49.273105218915553</v>
      </c>
    </row>
    <row r="334" spans="1:8" x14ac:dyDescent="0.2">
      <c r="A334" s="32"/>
      <c r="B334" s="60" t="s">
        <v>191</v>
      </c>
      <c r="C334" s="61" t="s">
        <v>192</v>
      </c>
      <c r="D334" s="27">
        <v>149716</v>
      </c>
      <c r="E334" s="28">
        <f>'Buget 2024'!D334</f>
        <v>229076</v>
      </c>
      <c r="G334" s="122">
        <f t="shared" si="47"/>
        <v>79360</v>
      </c>
      <c r="H334" s="123">
        <f t="shared" si="48"/>
        <v>53.007026637099571</v>
      </c>
    </row>
    <row r="335" spans="1:8" ht="25.5" x14ac:dyDescent="0.2">
      <c r="A335" s="54" t="s">
        <v>29</v>
      </c>
      <c r="B335" s="54">
        <v>56</v>
      </c>
      <c r="C335" s="79" t="s">
        <v>194</v>
      </c>
      <c r="D335" s="80"/>
      <c r="E335" s="80"/>
      <c r="G335" s="122">
        <f t="shared" si="47"/>
        <v>0</v>
      </c>
      <c r="H335" s="123" t="e">
        <f t="shared" si="48"/>
        <v>#DIV/0!</v>
      </c>
    </row>
    <row r="336" spans="1:8" x14ac:dyDescent="0.2">
      <c r="A336" s="54"/>
      <c r="B336" s="22" t="s">
        <v>189</v>
      </c>
      <c r="C336" s="53" t="s">
        <v>190</v>
      </c>
      <c r="D336" s="80">
        <f>D339+D351+D357</f>
        <v>836</v>
      </c>
      <c r="E336" s="80">
        <f>E339+E351+E357</f>
        <v>8617</v>
      </c>
      <c r="G336" s="122">
        <f t="shared" si="47"/>
        <v>7781</v>
      </c>
      <c r="H336" s="123">
        <f t="shared" si="48"/>
        <v>930.74162679425831</v>
      </c>
    </row>
    <row r="337" spans="1:8" x14ac:dyDescent="0.2">
      <c r="A337" s="54"/>
      <c r="B337" s="22" t="s">
        <v>191</v>
      </c>
      <c r="C337" s="53" t="s">
        <v>192</v>
      </c>
      <c r="D337" s="80">
        <f>D340+D352+D358</f>
        <v>836</v>
      </c>
      <c r="E337" s="80">
        <f>E340+E352+E358</f>
        <v>6237</v>
      </c>
      <c r="G337" s="122">
        <f t="shared" si="47"/>
        <v>5401</v>
      </c>
      <c r="H337" s="123">
        <f t="shared" si="48"/>
        <v>646.0526315789474</v>
      </c>
    </row>
    <row r="338" spans="1:8" ht="25.5" x14ac:dyDescent="0.2">
      <c r="A338" s="81" t="s">
        <v>29</v>
      </c>
      <c r="B338" s="81" t="s">
        <v>332</v>
      </c>
      <c r="C338" s="82" t="s">
        <v>333</v>
      </c>
      <c r="D338" s="83"/>
      <c r="E338" s="83"/>
      <c r="G338" s="122">
        <f t="shared" si="47"/>
        <v>0</v>
      </c>
      <c r="H338" s="123" t="e">
        <f t="shared" si="48"/>
        <v>#DIV/0!</v>
      </c>
    </row>
    <row r="339" spans="1:8" x14ac:dyDescent="0.2">
      <c r="A339" s="81"/>
      <c r="B339" s="22" t="s">
        <v>189</v>
      </c>
      <c r="C339" s="53" t="s">
        <v>190</v>
      </c>
      <c r="D339" s="83">
        <f t="shared" ref="D339:E340" si="51">D342+D345+D348</f>
        <v>597</v>
      </c>
      <c r="E339" s="83">
        <f t="shared" si="51"/>
        <v>6890</v>
      </c>
      <c r="G339" s="122">
        <f t="shared" si="47"/>
        <v>6293</v>
      </c>
      <c r="H339" s="123">
        <f t="shared" si="48"/>
        <v>1054.1038525963149</v>
      </c>
    </row>
    <row r="340" spans="1:8" x14ac:dyDescent="0.2">
      <c r="A340" s="81"/>
      <c r="B340" s="22" t="s">
        <v>191</v>
      </c>
      <c r="C340" s="53" t="s">
        <v>192</v>
      </c>
      <c r="D340" s="83">
        <f t="shared" si="51"/>
        <v>597</v>
      </c>
      <c r="E340" s="83">
        <f t="shared" si="51"/>
        <v>4510</v>
      </c>
      <c r="G340" s="122">
        <f t="shared" si="47"/>
        <v>3913</v>
      </c>
      <c r="H340" s="123">
        <f t="shared" si="48"/>
        <v>655.44388609715247</v>
      </c>
    </row>
    <row r="341" spans="1:8" x14ac:dyDescent="0.2">
      <c r="A341" s="84" t="s">
        <v>29</v>
      </c>
      <c r="B341" s="84" t="s">
        <v>334</v>
      </c>
      <c r="C341" s="69" t="s">
        <v>240</v>
      </c>
      <c r="D341" s="71"/>
      <c r="E341" s="71"/>
      <c r="G341" s="122">
        <f t="shared" si="47"/>
        <v>0</v>
      </c>
      <c r="H341" s="123" t="e">
        <f t="shared" si="48"/>
        <v>#DIV/0!</v>
      </c>
    </row>
    <row r="342" spans="1:8" x14ac:dyDescent="0.2">
      <c r="A342" s="84"/>
      <c r="B342" s="58" t="s">
        <v>189</v>
      </c>
      <c r="C342" s="59" t="s">
        <v>190</v>
      </c>
      <c r="D342" s="27">
        <f>36+1</f>
        <v>37</v>
      </c>
      <c r="E342" s="28">
        <f>'Buget 2024'!D342</f>
        <v>1017</v>
      </c>
      <c r="G342" s="122">
        <f t="shared" si="47"/>
        <v>980</v>
      </c>
      <c r="H342" s="123">
        <f t="shared" si="48"/>
        <v>2648.6486486486488</v>
      </c>
    </row>
    <row r="343" spans="1:8" x14ac:dyDescent="0.2">
      <c r="A343" s="84"/>
      <c r="B343" s="60" t="s">
        <v>191</v>
      </c>
      <c r="C343" s="61" t="s">
        <v>192</v>
      </c>
      <c r="D343" s="27">
        <f>36+1</f>
        <v>37</v>
      </c>
      <c r="E343" s="28">
        <f>'Buget 2024'!D343</f>
        <v>589</v>
      </c>
      <c r="G343" s="122">
        <f t="shared" si="47"/>
        <v>552</v>
      </c>
      <c r="H343" s="123">
        <f t="shared" si="48"/>
        <v>1491.8918918918919</v>
      </c>
    </row>
    <row r="344" spans="1:8" x14ac:dyDescent="0.2">
      <c r="A344" s="58" t="s">
        <v>29</v>
      </c>
      <c r="B344" s="58" t="s">
        <v>335</v>
      </c>
      <c r="C344" s="85" t="s">
        <v>243</v>
      </c>
      <c r="D344" s="86"/>
      <c r="E344" s="86"/>
      <c r="G344" s="122">
        <f t="shared" si="47"/>
        <v>0</v>
      </c>
      <c r="H344" s="123" t="e">
        <f t="shared" si="48"/>
        <v>#DIV/0!</v>
      </c>
    </row>
    <row r="345" spans="1:8" x14ac:dyDescent="0.2">
      <c r="A345" s="58"/>
      <c r="B345" s="58" t="s">
        <v>189</v>
      </c>
      <c r="C345" s="59" t="s">
        <v>190</v>
      </c>
      <c r="D345" s="27">
        <v>560</v>
      </c>
      <c r="E345" s="28">
        <f>'Buget 2024'!D345</f>
        <v>5748</v>
      </c>
      <c r="G345" s="122">
        <f t="shared" ref="G345:G408" si="52">E345-D345</f>
        <v>5188</v>
      </c>
      <c r="H345" s="123">
        <f t="shared" ref="H345:H408" si="53">G345/D345*100</f>
        <v>926.42857142857144</v>
      </c>
    </row>
    <row r="346" spans="1:8" x14ac:dyDescent="0.2">
      <c r="A346" s="58"/>
      <c r="B346" s="60" t="s">
        <v>191</v>
      </c>
      <c r="C346" s="61" t="s">
        <v>192</v>
      </c>
      <c r="D346" s="27">
        <v>560</v>
      </c>
      <c r="E346" s="28">
        <f>'Buget 2024'!D346</f>
        <v>3844</v>
      </c>
      <c r="G346" s="122">
        <f t="shared" si="52"/>
        <v>3284</v>
      </c>
      <c r="H346" s="123">
        <f t="shared" si="53"/>
        <v>586.42857142857133</v>
      </c>
    </row>
    <row r="347" spans="1:8" x14ac:dyDescent="0.2">
      <c r="A347" s="58" t="s">
        <v>29</v>
      </c>
      <c r="B347" s="58" t="s">
        <v>336</v>
      </c>
      <c r="C347" s="85" t="s">
        <v>114</v>
      </c>
      <c r="D347" s="86"/>
      <c r="E347" s="86"/>
      <c r="G347" s="122">
        <f t="shared" si="52"/>
        <v>0</v>
      </c>
      <c r="H347" s="123" t="e">
        <f t="shared" si="53"/>
        <v>#DIV/0!</v>
      </c>
    </row>
    <row r="348" spans="1:8" x14ac:dyDescent="0.2">
      <c r="A348" s="58"/>
      <c r="B348" s="58" t="s">
        <v>189</v>
      </c>
      <c r="C348" s="59" t="s">
        <v>190</v>
      </c>
      <c r="D348" s="27"/>
      <c r="E348" s="28">
        <f>'Buget 2024'!D348</f>
        <v>125</v>
      </c>
      <c r="G348" s="122">
        <f t="shared" si="52"/>
        <v>125</v>
      </c>
      <c r="H348" s="123" t="e">
        <f t="shared" si="53"/>
        <v>#DIV/0!</v>
      </c>
    </row>
    <row r="349" spans="1:8" x14ac:dyDescent="0.2">
      <c r="A349" s="58"/>
      <c r="B349" s="60" t="s">
        <v>191</v>
      </c>
      <c r="C349" s="61" t="s">
        <v>192</v>
      </c>
      <c r="D349" s="27"/>
      <c r="E349" s="28">
        <f>'Buget 2024'!D349</f>
        <v>77</v>
      </c>
      <c r="G349" s="122">
        <f t="shared" si="52"/>
        <v>77</v>
      </c>
      <c r="H349" s="123" t="e">
        <f t="shared" si="53"/>
        <v>#DIV/0!</v>
      </c>
    </row>
    <row r="350" spans="1:8" ht="38.25" hidden="1" x14ac:dyDescent="0.2">
      <c r="A350" s="81" t="s">
        <v>29</v>
      </c>
      <c r="B350" s="81" t="s">
        <v>380</v>
      </c>
      <c r="C350" s="82" t="s">
        <v>382</v>
      </c>
      <c r="D350" s="83"/>
      <c r="E350" s="83"/>
      <c r="G350" s="122">
        <f t="shared" si="52"/>
        <v>0</v>
      </c>
      <c r="H350" s="123" t="e">
        <f t="shared" si="53"/>
        <v>#DIV/0!</v>
      </c>
    </row>
    <row r="351" spans="1:8" hidden="1" x14ac:dyDescent="0.2">
      <c r="A351" s="81"/>
      <c r="B351" s="22" t="s">
        <v>189</v>
      </c>
      <c r="C351" s="53" t="s">
        <v>190</v>
      </c>
      <c r="D351" s="83">
        <f>D354</f>
        <v>0</v>
      </c>
      <c r="E351" s="83">
        <f>E354</f>
        <v>0</v>
      </c>
      <c r="G351" s="122">
        <f t="shared" si="52"/>
        <v>0</v>
      </c>
      <c r="H351" s="123" t="e">
        <f t="shared" si="53"/>
        <v>#DIV/0!</v>
      </c>
    </row>
    <row r="352" spans="1:8" hidden="1" x14ac:dyDescent="0.2">
      <c r="A352" s="81"/>
      <c r="B352" s="22" t="s">
        <v>191</v>
      </c>
      <c r="C352" s="53" t="s">
        <v>192</v>
      </c>
      <c r="D352" s="83">
        <f>D355</f>
        <v>0</v>
      </c>
      <c r="E352" s="83">
        <f>E355</f>
        <v>0</v>
      </c>
      <c r="G352" s="122">
        <f t="shared" si="52"/>
        <v>0</v>
      </c>
      <c r="H352" s="123" t="e">
        <f t="shared" si="53"/>
        <v>#DIV/0!</v>
      </c>
    </row>
    <row r="353" spans="1:8" hidden="1" x14ac:dyDescent="0.2">
      <c r="A353" s="58" t="s">
        <v>29</v>
      </c>
      <c r="B353" s="58" t="s">
        <v>381</v>
      </c>
      <c r="C353" s="85" t="s">
        <v>243</v>
      </c>
      <c r="D353" s="27"/>
      <c r="E353" s="28"/>
      <c r="G353" s="122">
        <f t="shared" si="52"/>
        <v>0</v>
      </c>
      <c r="H353" s="123" t="e">
        <f t="shared" si="53"/>
        <v>#DIV/0!</v>
      </c>
    </row>
    <row r="354" spans="1:8" hidden="1" x14ac:dyDescent="0.2">
      <c r="A354" s="58"/>
      <c r="B354" s="58" t="s">
        <v>189</v>
      </c>
      <c r="C354" s="59" t="s">
        <v>190</v>
      </c>
      <c r="D354" s="27"/>
      <c r="E354" s="28">
        <f>'Buget 2024'!D354</f>
        <v>0</v>
      </c>
      <c r="G354" s="122">
        <f t="shared" si="52"/>
        <v>0</v>
      </c>
      <c r="H354" s="123" t="e">
        <f t="shared" si="53"/>
        <v>#DIV/0!</v>
      </c>
    </row>
    <row r="355" spans="1:8" hidden="1" x14ac:dyDescent="0.2">
      <c r="A355" s="58"/>
      <c r="B355" s="60" t="s">
        <v>191</v>
      </c>
      <c r="C355" s="61" t="s">
        <v>192</v>
      </c>
      <c r="D355" s="27"/>
      <c r="E355" s="28">
        <f>'Buget 2024'!D355</f>
        <v>0</v>
      </c>
      <c r="G355" s="122">
        <f t="shared" si="52"/>
        <v>0</v>
      </c>
      <c r="H355" s="123" t="e">
        <f t="shared" si="53"/>
        <v>#DIV/0!</v>
      </c>
    </row>
    <row r="356" spans="1:8" x14ac:dyDescent="0.2">
      <c r="A356" s="81" t="s">
        <v>29</v>
      </c>
      <c r="B356" s="81" t="s">
        <v>361</v>
      </c>
      <c r="C356" s="82" t="s">
        <v>363</v>
      </c>
      <c r="D356" s="83"/>
      <c r="E356" s="83"/>
      <c r="G356" s="122">
        <f t="shared" si="52"/>
        <v>0</v>
      </c>
      <c r="H356" s="123" t="e">
        <f t="shared" si="53"/>
        <v>#DIV/0!</v>
      </c>
    </row>
    <row r="357" spans="1:8" x14ac:dyDescent="0.2">
      <c r="A357" s="81"/>
      <c r="B357" s="22" t="s">
        <v>189</v>
      </c>
      <c r="C357" s="53" t="s">
        <v>190</v>
      </c>
      <c r="D357" s="83">
        <f>D360</f>
        <v>239</v>
      </c>
      <c r="E357" s="83">
        <f>E360</f>
        <v>1727</v>
      </c>
      <c r="G357" s="122">
        <f t="shared" si="52"/>
        <v>1488</v>
      </c>
      <c r="H357" s="123">
        <f t="shared" si="53"/>
        <v>622.5941422594143</v>
      </c>
    </row>
    <row r="358" spans="1:8" x14ac:dyDescent="0.2">
      <c r="A358" s="81"/>
      <c r="B358" s="22" t="s">
        <v>191</v>
      </c>
      <c r="C358" s="53" t="s">
        <v>192</v>
      </c>
      <c r="D358" s="83">
        <f>D361</f>
        <v>239</v>
      </c>
      <c r="E358" s="83">
        <f>E361</f>
        <v>1727</v>
      </c>
      <c r="G358" s="122">
        <f t="shared" si="52"/>
        <v>1488</v>
      </c>
      <c r="H358" s="123">
        <f t="shared" si="53"/>
        <v>622.5941422594143</v>
      </c>
    </row>
    <row r="359" spans="1:8" x14ac:dyDescent="0.2">
      <c r="A359" s="58" t="s">
        <v>29</v>
      </c>
      <c r="B359" s="58" t="s">
        <v>362</v>
      </c>
      <c r="C359" s="85" t="s">
        <v>243</v>
      </c>
      <c r="D359" s="27"/>
      <c r="E359" s="28"/>
      <c r="G359" s="122">
        <f t="shared" si="52"/>
        <v>0</v>
      </c>
      <c r="H359" s="123" t="e">
        <f t="shared" si="53"/>
        <v>#DIV/0!</v>
      </c>
    </row>
    <row r="360" spans="1:8" x14ac:dyDescent="0.2">
      <c r="A360" s="58"/>
      <c r="B360" s="58" t="s">
        <v>189</v>
      </c>
      <c r="C360" s="59" t="s">
        <v>190</v>
      </c>
      <c r="D360" s="27">
        <v>239</v>
      </c>
      <c r="E360" s="28">
        <f>'Buget 2024'!D360</f>
        <v>1727</v>
      </c>
      <c r="G360" s="122">
        <f t="shared" si="52"/>
        <v>1488</v>
      </c>
      <c r="H360" s="123">
        <f t="shared" si="53"/>
        <v>622.5941422594143</v>
      </c>
    </row>
    <row r="361" spans="1:8" x14ac:dyDescent="0.2">
      <c r="A361" s="58"/>
      <c r="B361" s="60" t="s">
        <v>191</v>
      </c>
      <c r="C361" s="61" t="s">
        <v>192</v>
      </c>
      <c r="D361" s="27">
        <v>239</v>
      </c>
      <c r="E361" s="28">
        <f>'Buget 2024'!D361</f>
        <v>1727</v>
      </c>
      <c r="G361" s="122">
        <f t="shared" si="52"/>
        <v>1488</v>
      </c>
      <c r="H361" s="123">
        <f t="shared" si="53"/>
        <v>622.5941422594143</v>
      </c>
    </row>
    <row r="362" spans="1:8" hidden="1" x14ac:dyDescent="0.2">
      <c r="A362" s="22" t="s">
        <v>29</v>
      </c>
      <c r="B362" s="22">
        <v>57</v>
      </c>
      <c r="C362" s="23" t="s">
        <v>266</v>
      </c>
      <c r="D362" s="24"/>
      <c r="E362" s="24"/>
      <c r="G362" s="122">
        <f t="shared" si="52"/>
        <v>0</v>
      </c>
      <c r="H362" s="123" t="e">
        <f t="shared" si="53"/>
        <v>#DIV/0!</v>
      </c>
    </row>
    <row r="363" spans="1:8" hidden="1" x14ac:dyDescent="0.2">
      <c r="A363" s="22"/>
      <c r="B363" s="22" t="s">
        <v>189</v>
      </c>
      <c r="C363" s="53" t="s">
        <v>190</v>
      </c>
      <c r="D363" s="24">
        <f t="shared" ref="D363:E364" si="54">D366</f>
        <v>0</v>
      </c>
      <c r="E363" s="24">
        <f t="shared" si="54"/>
        <v>0</v>
      </c>
      <c r="G363" s="122">
        <f t="shared" si="52"/>
        <v>0</v>
      </c>
      <c r="H363" s="123" t="e">
        <f t="shared" si="53"/>
        <v>#DIV/0!</v>
      </c>
    </row>
    <row r="364" spans="1:8" hidden="1" x14ac:dyDescent="0.2">
      <c r="A364" s="22"/>
      <c r="B364" s="22" t="s">
        <v>191</v>
      </c>
      <c r="C364" s="53" t="s">
        <v>192</v>
      </c>
      <c r="D364" s="24">
        <f t="shared" si="54"/>
        <v>0</v>
      </c>
      <c r="E364" s="24">
        <f t="shared" si="54"/>
        <v>0</v>
      </c>
      <c r="G364" s="122">
        <f t="shared" si="52"/>
        <v>0</v>
      </c>
      <c r="H364" s="123" t="e">
        <f t="shared" si="53"/>
        <v>#DIV/0!</v>
      </c>
    </row>
    <row r="365" spans="1:8" hidden="1" x14ac:dyDescent="0.2">
      <c r="A365" s="22" t="s">
        <v>29</v>
      </c>
      <c r="B365" s="22" t="s">
        <v>270</v>
      </c>
      <c r="C365" s="23" t="s">
        <v>267</v>
      </c>
      <c r="D365" s="24"/>
      <c r="E365" s="24"/>
      <c r="G365" s="122">
        <f t="shared" si="52"/>
        <v>0</v>
      </c>
      <c r="H365" s="123" t="e">
        <f t="shared" si="53"/>
        <v>#DIV/0!</v>
      </c>
    </row>
    <row r="366" spans="1:8" hidden="1" x14ac:dyDescent="0.2">
      <c r="A366" s="22"/>
      <c r="B366" s="22" t="s">
        <v>189</v>
      </c>
      <c r="C366" s="53" t="s">
        <v>190</v>
      </c>
      <c r="D366" s="24">
        <f t="shared" ref="D366:E367" si="55">D369</f>
        <v>0</v>
      </c>
      <c r="E366" s="24">
        <f t="shared" si="55"/>
        <v>0</v>
      </c>
      <c r="G366" s="122">
        <f t="shared" si="52"/>
        <v>0</v>
      </c>
      <c r="H366" s="123" t="e">
        <f t="shared" si="53"/>
        <v>#DIV/0!</v>
      </c>
    </row>
    <row r="367" spans="1:8" hidden="1" x14ac:dyDescent="0.2">
      <c r="A367" s="22"/>
      <c r="B367" s="22" t="s">
        <v>191</v>
      </c>
      <c r="C367" s="53" t="s">
        <v>192</v>
      </c>
      <c r="D367" s="24">
        <f t="shared" si="55"/>
        <v>0</v>
      </c>
      <c r="E367" s="24">
        <f t="shared" si="55"/>
        <v>0</v>
      </c>
      <c r="G367" s="122">
        <f t="shared" si="52"/>
        <v>0</v>
      </c>
      <c r="H367" s="123" t="e">
        <f t="shared" si="53"/>
        <v>#DIV/0!</v>
      </c>
    </row>
    <row r="368" spans="1:8" hidden="1" x14ac:dyDescent="0.2">
      <c r="A368" s="32" t="s">
        <v>29</v>
      </c>
      <c r="B368" s="32" t="s">
        <v>271</v>
      </c>
      <c r="C368" s="33" t="s">
        <v>268</v>
      </c>
      <c r="D368" s="35"/>
      <c r="E368" s="35"/>
      <c r="G368" s="122">
        <f t="shared" si="52"/>
        <v>0</v>
      </c>
      <c r="H368" s="123" t="e">
        <f t="shared" si="53"/>
        <v>#DIV/0!</v>
      </c>
    </row>
    <row r="369" spans="1:8" hidden="1" x14ac:dyDescent="0.2">
      <c r="A369" s="32"/>
      <c r="B369" s="58" t="s">
        <v>189</v>
      </c>
      <c r="C369" s="59" t="s">
        <v>190</v>
      </c>
      <c r="D369" s="27"/>
      <c r="E369" s="28">
        <f>'Buget 2024'!D369</f>
        <v>0</v>
      </c>
      <c r="G369" s="122">
        <f t="shared" si="52"/>
        <v>0</v>
      </c>
      <c r="H369" s="123" t="e">
        <f t="shared" si="53"/>
        <v>#DIV/0!</v>
      </c>
    </row>
    <row r="370" spans="1:8" hidden="1" x14ac:dyDescent="0.2">
      <c r="A370" s="32"/>
      <c r="B370" s="60" t="s">
        <v>191</v>
      </c>
      <c r="C370" s="61" t="s">
        <v>192</v>
      </c>
      <c r="D370" s="27"/>
      <c r="E370" s="28">
        <f>'Buget 2024'!D370</f>
        <v>0</v>
      </c>
      <c r="G370" s="122">
        <f t="shared" si="52"/>
        <v>0</v>
      </c>
      <c r="H370" s="123" t="e">
        <f t="shared" si="53"/>
        <v>#DIV/0!</v>
      </c>
    </row>
    <row r="371" spans="1:8" ht="38.25" hidden="1" x14ac:dyDescent="0.2">
      <c r="A371" s="54" t="s">
        <v>29</v>
      </c>
      <c r="B371" s="54" t="s">
        <v>34</v>
      </c>
      <c r="C371" s="87" t="s">
        <v>195</v>
      </c>
      <c r="D371" s="80"/>
      <c r="E371" s="80"/>
      <c r="G371" s="122">
        <f t="shared" si="52"/>
        <v>0</v>
      </c>
      <c r="H371" s="123" t="e">
        <f t="shared" si="53"/>
        <v>#DIV/0!</v>
      </c>
    </row>
    <row r="372" spans="1:8" hidden="1" x14ac:dyDescent="0.2">
      <c r="A372" s="54"/>
      <c r="B372" s="22" t="s">
        <v>189</v>
      </c>
      <c r="C372" s="53" t="s">
        <v>190</v>
      </c>
      <c r="D372" s="80">
        <f>D375+D396+D426+D387+D405+D417</f>
        <v>0</v>
      </c>
      <c r="E372" s="80">
        <f t="shared" ref="E372:E373" si="56">E375+E396+E426+E387+E405+E417</f>
        <v>0</v>
      </c>
      <c r="G372" s="122">
        <f t="shared" si="52"/>
        <v>0</v>
      </c>
      <c r="H372" s="123" t="e">
        <f t="shared" si="53"/>
        <v>#DIV/0!</v>
      </c>
    </row>
    <row r="373" spans="1:8" hidden="1" x14ac:dyDescent="0.2">
      <c r="A373" s="54"/>
      <c r="B373" s="22" t="s">
        <v>191</v>
      </c>
      <c r="C373" s="53" t="s">
        <v>192</v>
      </c>
      <c r="D373" s="80">
        <f>D376+D397+D427+D388+D406+D418</f>
        <v>0</v>
      </c>
      <c r="E373" s="80">
        <f t="shared" si="56"/>
        <v>0</v>
      </c>
      <c r="G373" s="122">
        <f t="shared" si="52"/>
        <v>0</v>
      </c>
      <c r="H373" s="123" t="e">
        <f t="shared" si="53"/>
        <v>#DIV/0!</v>
      </c>
    </row>
    <row r="374" spans="1:8" ht="23.25" hidden="1" customHeight="1" x14ac:dyDescent="0.2">
      <c r="A374" s="81" t="s">
        <v>29</v>
      </c>
      <c r="B374" s="81" t="s">
        <v>115</v>
      </c>
      <c r="C374" s="82" t="s">
        <v>242</v>
      </c>
      <c r="D374" s="83"/>
      <c r="E374" s="83"/>
      <c r="G374" s="122">
        <f t="shared" si="52"/>
        <v>0</v>
      </c>
      <c r="H374" s="123" t="e">
        <f t="shared" si="53"/>
        <v>#DIV/0!</v>
      </c>
    </row>
    <row r="375" spans="1:8" hidden="1" x14ac:dyDescent="0.2">
      <c r="A375" s="81"/>
      <c r="B375" s="22" t="s">
        <v>189</v>
      </c>
      <c r="C375" s="53" t="s">
        <v>190</v>
      </c>
      <c r="D375" s="83">
        <f t="shared" ref="D375:E376" si="57">D378+D381+D384</f>
        <v>0</v>
      </c>
      <c r="E375" s="83">
        <f t="shared" si="57"/>
        <v>0</v>
      </c>
      <c r="G375" s="122">
        <f t="shared" si="52"/>
        <v>0</v>
      </c>
      <c r="H375" s="123" t="e">
        <f t="shared" si="53"/>
        <v>#DIV/0!</v>
      </c>
    </row>
    <row r="376" spans="1:8" hidden="1" x14ac:dyDescent="0.2">
      <c r="A376" s="81"/>
      <c r="B376" s="22" t="s">
        <v>191</v>
      </c>
      <c r="C376" s="53" t="s">
        <v>192</v>
      </c>
      <c r="D376" s="83">
        <f t="shared" si="57"/>
        <v>0</v>
      </c>
      <c r="E376" s="83">
        <f t="shared" si="57"/>
        <v>0</v>
      </c>
      <c r="G376" s="122">
        <f t="shared" si="52"/>
        <v>0</v>
      </c>
      <c r="H376" s="123" t="e">
        <f t="shared" si="53"/>
        <v>#DIV/0!</v>
      </c>
    </row>
    <row r="377" spans="1:8" hidden="1" x14ac:dyDescent="0.2">
      <c r="A377" s="84" t="s">
        <v>29</v>
      </c>
      <c r="B377" s="84" t="s">
        <v>116</v>
      </c>
      <c r="C377" s="69" t="s">
        <v>240</v>
      </c>
      <c r="D377" s="71"/>
      <c r="E377" s="71"/>
      <c r="G377" s="122">
        <f t="shared" si="52"/>
        <v>0</v>
      </c>
      <c r="H377" s="123" t="e">
        <f t="shared" si="53"/>
        <v>#DIV/0!</v>
      </c>
    </row>
    <row r="378" spans="1:8" hidden="1" x14ac:dyDescent="0.2">
      <c r="A378" s="84"/>
      <c r="B378" s="58" t="s">
        <v>189</v>
      </c>
      <c r="C378" s="59" t="s">
        <v>190</v>
      </c>
      <c r="D378" s="27"/>
      <c r="E378" s="28">
        <f>'Buget 2024'!D378</f>
        <v>0</v>
      </c>
      <c r="G378" s="122">
        <f t="shared" si="52"/>
        <v>0</v>
      </c>
      <c r="H378" s="123" t="e">
        <f t="shared" si="53"/>
        <v>#DIV/0!</v>
      </c>
    </row>
    <row r="379" spans="1:8" hidden="1" x14ac:dyDescent="0.2">
      <c r="A379" s="84"/>
      <c r="B379" s="60" t="s">
        <v>191</v>
      </c>
      <c r="C379" s="61" t="s">
        <v>192</v>
      </c>
      <c r="D379" s="27"/>
      <c r="E379" s="28">
        <f>'Buget 2024'!D379</f>
        <v>0</v>
      </c>
      <c r="G379" s="122">
        <f t="shared" si="52"/>
        <v>0</v>
      </c>
      <c r="H379" s="123" t="e">
        <f t="shared" si="53"/>
        <v>#DIV/0!</v>
      </c>
    </row>
    <row r="380" spans="1:8" hidden="1" x14ac:dyDescent="0.2">
      <c r="A380" s="58" t="s">
        <v>29</v>
      </c>
      <c r="B380" s="58" t="s">
        <v>117</v>
      </c>
      <c r="C380" s="85" t="s">
        <v>243</v>
      </c>
      <c r="D380" s="88"/>
      <c r="E380" s="86"/>
      <c r="G380" s="122">
        <f t="shared" si="52"/>
        <v>0</v>
      </c>
      <c r="H380" s="123" t="e">
        <f t="shared" si="53"/>
        <v>#DIV/0!</v>
      </c>
    </row>
    <row r="381" spans="1:8" hidden="1" x14ac:dyDescent="0.2">
      <c r="A381" s="58"/>
      <c r="B381" s="58" t="s">
        <v>189</v>
      </c>
      <c r="C381" s="59" t="s">
        <v>190</v>
      </c>
      <c r="D381" s="27"/>
      <c r="E381" s="28">
        <f>'Buget 2024'!D381</f>
        <v>0</v>
      </c>
      <c r="G381" s="122">
        <f t="shared" si="52"/>
        <v>0</v>
      </c>
      <c r="H381" s="123" t="e">
        <f t="shared" si="53"/>
        <v>#DIV/0!</v>
      </c>
    </row>
    <row r="382" spans="1:8" hidden="1" x14ac:dyDescent="0.2">
      <c r="A382" s="58"/>
      <c r="B382" s="60" t="s">
        <v>191</v>
      </c>
      <c r="C382" s="61" t="s">
        <v>192</v>
      </c>
      <c r="D382" s="27"/>
      <c r="E382" s="28">
        <f>'Buget 2024'!D382</f>
        <v>0</v>
      </c>
      <c r="G382" s="122">
        <f t="shared" si="52"/>
        <v>0</v>
      </c>
      <c r="H382" s="123" t="e">
        <f t="shared" si="53"/>
        <v>#DIV/0!</v>
      </c>
    </row>
    <row r="383" spans="1:8" hidden="1" x14ac:dyDescent="0.2">
      <c r="A383" s="58" t="s">
        <v>29</v>
      </c>
      <c r="B383" s="58" t="s">
        <v>118</v>
      </c>
      <c r="C383" s="69" t="s">
        <v>114</v>
      </c>
      <c r="D383" s="70"/>
      <c r="E383" s="71"/>
      <c r="G383" s="122">
        <f t="shared" si="52"/>
        <v>0</v>
      </c>
      <c r="H383" s="123" t="e">
        <f t="shared" si="53"/>
        <v>#DIV/0!</v>
      </c>
    </row>
    <row r="384" spans="1:8" hidden="1" x14ac:dyDescent="0.2">
      <c r="A384" s="58"/>
      <c r="B384" s="58" t="s">
        <v>189</v>
      </c>
      <c r="C384" s="59" t="s">
        <v>190</v>
      </c>
      <c r="D384" s="27"/>
      <c r="E384" s="28">
        <f>'Buget 2024'!D384</f>
        <v>0</v>
      </c>
      <c r="G384" s="122">
        <f t="shared" si="52"/>
        <v>0</v>
      </c>
      <c r="H384" s="123" t="e">
        <f t="shared" si="53"/>
        <v>#DIV/0!</v>
      </c>
    </row>
    <row r="385" spans="1:8" hidden="1" x14ac:dyDescent="0.2">
      <c r="A385" s="58"/>
      <c r="B385" s="60" t="s">
        <v>191</v>
      </c>
      <c r="C385" s="61" t="s">
        <v>192</v>
      </c>
      <c r="D385" s="27"/>
      <c r="E385" s="28">
        <f>'Buget 2024'!D385</f>
        <v>0</v>
      </c>
      <c r="G385" s="122">
        <f t="shared" si="52"/>
        <v>0</v>
      </c>
      <c r="H385" s="123" t="e">
        <f t="shared" si="53"/>
        <v>#DIV/0!</v>
      </c>
    </row>
    <row r="386" spans="1:8" hidden="1" x14ac:dyDescent="0.2">
      <c r="A386" s="81" t="s">
        <v>29</v>
      </c>
      <c r="B386" s="81" t="s">
        <v>274</v>
      </c>
      <c r="C386" s="82" t="s">
        <v>272</v>
      </c>
      <c r="D386" s="83"/>
      <c r="E386" s="83"/>
      <c r="G386" s="122">
        <f t="shared" si="52"/>
        <v>0</v>
      </c>
      <c r="H386" s="123" t="e">
        <f t="shared" si="53"/>
        <v>#DIV/0!</v>
      </c>
    </row>
    <row r="387" spans="1:8" hidden="1" x14ac:dyDescent="0.2">
      <c r="A387" s="81"/>
      <c r="B387" s="22" t="s">
        <v>189</v>
      </c>
      <c r="C387" s="53" t="s">
        <v>190</v>
      </c>
      <c r="D387" s="83">
        <f t="shared" ref="D387:E388" si="58">D390+D393</f>
        <v>0</v>
      </c>
      <c r="E387" s="83">
        <f t="shared" si="58"/>
        <v>0</v>
      </c>
      <c r="G387" s="122">
        <f t="shared" si="52"/>
        <v>0</v>
      </c>
      <c r="H387" s="123" t="e">
        <f t="shared" si="53"/>
        <v>#DIV/0!</v>
      </c>
    </row>
    <row r="388" spans="1:8" hidden="1" x14ac:dyDescent="0.2">
      <c r="A388" s="81"/>
      <c r="B388" s="22" t="s">
        <v>191</v>
      </c>
      <c r="C388" s="53" t="s">
        <v>192</v>
      </c>
      <c r="D388" s="83">
        <f t="shared" si="58"/>
        <v>0</v>
      </c>
      <c r="E388" s="83">
        <f t="shared" si="58"/>
        <v>0</v>
      </c>
      <c r="G388" s="122">
        <f t="shared" si="52"/>
        <v>0</v>
      </c>
      <c r="H388" s="123" t="e">
        <f t="shared" si="53"/>
        <v>#DIV/0!</v>
      </c>
    </row>
    <row r="389" spans="1:8" hidden="1" x14ac:dyDescent="0.2">
      <c r="A389" s="84" t="s">
        <v>29</v>
      </c>
      <c r="B389" s="84" t="s">
        <v>275</v>
      </c>
      <c r="C389" s="33" t="s">
        <v>240</v>
      </c>
      <c r="D389" s="35"/>
      <c r="E389" s="35"/>
      <c r="G389" s="122">
        <f t="shared" si="52"/>
        <v>0</v>
      </c>
      <c r="H389" s="123" t="e">
        <f t="shared" si="53"/>
        <v>#DIV/0!</v>
      </c>
    </row>
    <row r="390" spans="1:8" hidden="1" x14ac:dyDescent="0.2">
      <c r="A390" s="84"/>
      <c r="B390" s="58" t="s">
        <v>189</v>
      </c>
      <c r="C390" s="59" t="s">
        <v>190</v>
      </c>
      <c r="D390" s="27"/>
      <c r="E390" s="28">
        <f>'Buget 2024'!D390</f>
        <v>0</v>
      </c>
      <c r="G390" s="122">
        <f t="shared" si="52"/>
        <v>0</v>
      </c>
      <c r="H390" s="123" t="e">
        <f t="shared" si="53"/>
        <v>#DIV/0!</v>
      </c>
    </row>
    <row r="391" spans="1:8" hidden="1" x14ac:dyDescent="0.2">
      <c r="A391" s="84"/>
      <c r="B391" s="60" t="s">
        <v>191</v>
      </c>
      <c r="C391" s="61" t="s">
        <v>192</v>
      </c>
      <c r="D391" s="27"/>
      <c r="E391" s="28">
        <f>'Buget 2024'!D391</f>
        <v>0</v>
      </c>
      <c r="G391" s="122">
        <f t="shared" si="52"/>
        <v>0</v>
      </c>
      <c r="H391" s="123" t="e">
        <f t="shared" si="53"/>
        <v>#DIV/0!</v>
      </c>
    </row>
    <row r="392" spans="1:8" hidden="1" x14ac:dyDescent="0.2">
      <c r="A392" s="58" t="s">
        <v>29</v>
      </c>
      <c r="B392" s="58" t="s">
        <v>276</v>
      </c>
      <c r="C392" s="89" t="s">
        <v>243</v>
      </c>
      <c r="D392" s="90"/>
      <c r="E392" s="90"/>
      <c r="G392" s="122">
        <f t="shared" si="52"/>
        <v>0</v>
      </c>
      <c r="H392" s="123" t="e">
        <f t="shared" si="53"/>
        <v>#DIV/0!</v>
      </c>
    </row>
    <row r="393" spans="1:8" hidden="1" x14ac:dyDescent="0.2">
      <c r="A393" s="58"/>
      <c r="B393" s="58" t="s">
        <v>189</v>
      </c>
      <c r="C393" s="59" t="s">
        <v>190</v>
      </c>
      <c r="D393" s="27"/>
      <c r="E393" s="28">
        <f>'Buget 2024'!D393</f>
        <v>0</v>
      </c>
      <c r="G393" s="122">
        <f t="shared" si="52"/>
        <v>0</v>
      </c>
      <c r="H393" s="123" t="e">
        <f t="shared" si="53"/>
        <v>#DIV/0!</v>
      </c>
    </row>
    <row r="394" spans="1:8" hidden="1" x14ac:dyDescent="0.2">
      <c r="A394" s="58"/>
      <c r="B394" s="60" t="s">
        <v>191</v>
      </c>
      <c r="C394" s="61" t="s">
        <v>192</v>
      </c>
      <c r="D394" s="27"/>
      <c r="E394" s="28">
        <f>'Buget 2024'!D394</f>
        <v>0</v>
      </c>
      <c r="G394" s="122">
        <f t="shared" si="52"/>
        <v>0</v>
      </c>
      <c r="H394" s="123" t="e">
        <f t="shared" si="53"/>
        <v>#DIV/0!</v>
      </c>
    </row>
    <row r="395" spans="1:8" ht="17.25" hidden="1" customHeight="1" x14ac:dyDescent="0.2">
      <c r="A395" s="81" t="s">
        <v>29</v>
      </c>
      <c r="B395" s="81" t="s">
        <v>119</v>
      </c>
      <c r="C395" s="82" t="s">
        <v>120</v>
      </c>
      <c r="D395" s="83"/>
      <c r="E395" s="83"/>
      <c r="G395" s="122">
        <f t="shared" si="52"/>
        <v>0</v>
      </c>
      <c r="H395" s="123" t="e">
        <f t="shared" si="53"/>
        <v>#DIV/0!</v>
      </c>
    </row>
    <row r="396" spans="1:8" hidden="1" x14ac:dyDescent="0.2">
      <c r="A396" s="81"/>
      <c r="B396" s="22" t="s">
        <v>189</v>
      </c>
      <c r="C396" s="53" t="s">
        <v>190</v>
      </c>
      <c r="D396" s="83">
        <f t="shared" ref="D396:E397" si="59">D399+D402</f>
        <v>0</v>
      </c>
      <c r="E396" s="83">
        <f t="shared" si="59"/>
        <v>0</v>
      </c>
      <c r="G396" s="122">
        <f t="shared" si="52"/>
        <v>0</v>
      </c>
      <c r="H396" s="123" t="e">
        <f t="shared" si="53"/>
        <v>#DIV/0!</v>
      </c>
    </row>
    <row r="397" spans="1:8" hidden="1" x14ac:dyDescent="0.2">
      <c r="A397" s="81"/>
      <c r="B397" s="22" t="s">
        <v>191</v>
      </c>
      <c r="C397" s="53" t="s">
        <v>192</v>
      </c>
      <c r="D397" s="83">
        <f t="shared" si="59"/>
        <v>0</v>
      </c>
      <c r="E397" s="83">
        <f t="shared" si="59"/>
        <v>0</v>
      </c>
      <c r="G397" s="122">
        <f t="shared" si="52"/>
        <v>0</v>
      </c>
      <c r="H397" s="123" t="e">
        <f t="shared" si="53"/>
        <v>#DIV/0!</v>
      </c>
    </row>
    <row r="398" spans="1:8" hidden="1" x14ac:dyDescent="0.2">
      <c r="A398" s="84" t="s">
        <v>29</v>
      </c>
      <c r="B398" s="84" t="s">
        <v>121</v>
      </c>
      <c r="C398" s="33" t="s">
        <v>240</v>
      </c>
      <c r="D398" s="35"/>
      <c r="E398" s="35"/>
      <c r="G398" s="122">
        <f t="shared" si="52"/>
        <v>0</v>
      </c>
      <c r="H398" s="123" t="e">
        <f t="shared" si="53"/>
        <v>#DIV/0!</v>
      </c>
    </row>
    <row r="399" spans="1:8" hidden="1" x14ac:dyDescent="0.2">
      <c r="A399" s="84"/>
      <c r="B399" s="58" t="s">
        <v>189</v>
      </c>
      <c r="C399" s="59" t="s">
        <v>190</v>
      </c>
      <c r="D399" s="27"/>
      <c r="E399" s="28">
        <f>'Buget 2024'!D399</f>
        <v>0</v>
      </c>
      <c r="G399" s="122">
        <f t="shared" si="52"/>
        <v>0</v>
      </c>
      <c r="H399" s="123" t="e">
        <f t="shared" si="53"/>
        <v>#DIV/0!</v>
      </c>
    </row>
    <row r="400" spans="1:8" hidden="1" x14ac:dyDescent="0.2">
      <c r="A400" s="84"/>
      <c r="B400" s="60" t="s">
        <v>191</v>
      </c>
      <c r="C400" s="61" t="s">
        <v>192</v>
      </c>
      <c r="D400" s="27"/>
      <c r="E400" s="28">
        <f>'Buget 2024'!D400</f>
        <v>0</v>
      </c>
      <c r="G400" s="122">
        <f t="shared" si="52"/>
        <v>0</v>
      </c>
      <c r="H400" s="123" t="e">
        <f t="shared" si="53"/>
        <v>#DIV/0!</v>
      </c>
    </row>
    <row r="401" spans="1:8" hidden="1" x14ac:dyDescent="0.2">
      <c r="A401" s="58" t="s">
        <v>29</v>
      </c>
      <c r="B401" s="58" t="s">
        <v>122</v>
      </c>
      <c r="C401" s="89" t="s">
        <v>243</v>
      </c>
      <c r="D401" s="91"/>
      <c r="E401" s="90"/>
      <c r="G401" s="122">
        <f t="shared" si="52"/>
        <v>0</v>
      </c>
      <c r="H401" s="123" t="e">
        <f t="shared" si="53"/>
        <v>#DIV/0!</v>
      </c>
    </row>
    <row r="402" spans="1:8" hidden="1" x14ac:dyDescent="0.2">
      <c r="A402" s="58"/>
      <c r="B402" s="58" t="s">
        <v>189</v>
      </c>
      <c r="C402" s="59" t="s">
        <v>190</v>
      </c>
      <c r="D402" s="27"/>
      <c r="E402" s="28">
        <f>'Buget 2024'!D402</f>
        <v>0</v>
      </c>
      <c r="G402" s="122">
        <f t="shared" si="52"/>
        <v>0</v>
      </c>
      <c r="H402" s="123" t="e">
        <f t="shared" si="53"/>
        <v>#DIV/0!</v>
      </c>
    </row>
    <row r="403" spans="1:8" hidden="1" x14ac:dyDescent="0.2">
      <c r="A403" s="58"/>
      <c r="B403" s="60" t="s">
        <v>191</v>
      </c>
      <c r="C403" s="61" t="s">
        <v>192</v>
      </c>
      <c r="D403" s="27"/>
      <c r="E403" s="28">
        <f>'Buget 2024'!D403</f>
        <v>0</v>
      </c>
      <c r="G403" s="122">
        <f t="shared" si="52"/>
        <v>0</v>
      </c>
      <c r="H403" s="123" t="e">
        <f t="shared" si="53"/>
        <v>#DIV/0!</v>
      </c>
    </row>
    <row r="404" spans="1:8" hidden="1" x14ac:dyDescent="0.2">
      <c r="A404" s="81" t="s">
        <v>29</v>
      </c>
      <c r="B404" s="81" t="s">
        <v>292</v>
      </c>
      <c r="C404" s="92" t="s">
        <v>291</v>
      </c>
      <c r="D404" s="83"/>
      <c r="E404" s="83"/>
      <c r="G404" s="122">
        <f t="shared" si="52"/>
        <v>0</v>
      </c>
      <c r="H404" s="123" t="e">
        <f t="shared" si="53"/>
        <v>#DIV/0!</v>
      </c>
    </row>
    <row r="405" spans="1:8" hidden="1" x14ac:dyDescent="0.2">
      <c r="A405" s="81"/>
      <c r="B405" s="22" t="s">
        <v>189</v>
      </c>
      <c r="C405" s="53" t="s">
        <v>190</v>
      </c>
      <c r="D405" s="83">
        <f>D408+D411+D414</f>
        <v>0</v>
      </c>
      <c r="E405" s="83">
        <f t="shared" ref="E405:E406" si="60">E408+E411+E414</f>
        <v>0</v>
      </c>
      <c r="G405" s="122">
        <f t="shared" si="52"/>
        <v>0</v>
      </c>
      <c r="H405" s="123" t="e">
        <f>G405/D405*100</f>
        <v>#DIV/0!</v>
      </c>
    </row>
    <row r="406" spans="1:8" hidden="1" x14ac:dyDescent="0.2">
      <c r="A406" s="81"/>
      <c r="B406" s="22" t="s">
        <v>191</v>
      </c>
      <c r="C406" s="53" t="s">
        <v>192</v>
      </c>
      <c r="D406" s="83">
        <f>D409+D412+D415</f>
        <v>0</v>
      </c>
      <c r="E406" s="83">
        <f t="shared" si="60"/>
        <v>0</v>
      </c>
      <c r="G406" s="122">
        <f t="shared" si="52"/>
        <v>0</v>
      </c>
      <c r="H406" s="123" t="e">
        <f t="shared" si="53"/>
        <v>#DIV/0!</v>
      </c>
    </row>
    <row r="407" spans="1:8" hidden="1" x14ac:dyDescent="0.2">
      <c r="A407" s="84" t="s">
        <v>29</v>
      </c>
      <c r="B407" s="84" t="s">
        <v>293</v>
      </c>
      <c r="C407" s="33" t="s">
        <v>240</v>
      </c>
      <c r="D407" s="35"/>
      <c r="E407" s="35"/>
      <c r="G407" s="122">
        <f t="shared" si="52"/>
        <v>0</v>
      </c>
      <c r="H407" s="123" t="e">
        <f t="shared" si="53"/>
        <v>#DIV/0!</v>
      </c>
    </row>
    <row r="408" spans="1:8" hidden="1" x14ac:dyDescent="0.2">
      <c r="A408" s="84"/>
      <c r="B408" s="58" t="s">
        <v>189</v>
      </c>
      <c r="C408" s="59" t="s">
        <v>190</v>
      </c>
      <c r="D408" s="27"/>
      <c r="E408" s="28">
        <f>'Buget 2024'!D408</f>
        <v>0</v>
      </c>
      <c r="G408" s="122">
        <f t="shared" si="52"/>
        <v>0</v>
      </c>
      <c r="H408" s="123" t="e">
        <f t="shared" si="53"/>
        <v>#DIV/0!</v>
      </c>
    </row>
    <row r="409" spans="1:8" hidden="1" x14ac:dyDescent="0.2">
      <c r="A409" s="84"/>
      <c r="B409" s="60" t="s">
        <v>191</v>
      </c>
      <c r="C409" s="61" t="s">
        <v>192</v>
      </c>
      <c r="D409" s="27"/>
      <c r="E409" s="28">
        <f>'Buget 2024'!D409</f>
        <v>0</v>
      </c>
      <c r="G409" s="122">
        <f t="shared" ref="G409:G475" si="61">E409-D409</f>
        <v>0</v>
      </c>
      <c r="H409" s="123" t="e">
        <f t="shared" ref="H409:H475" si="62">G409/D409*100</f>
        <v>#DIV/0!</v>
      </c>
    </row>
    <row r="410" spans="1:8" hidden="1" x14ac:dyDescent="0.2">
      <c r="A410" s="58" t="s">
        <v>29</v>
      </c>
      <c r="B410" s="58" t="s">
        <v>294</v>
      </c>
      <c r="C410" s="89" t="s">
        <v>243</v>
      </c>
      <c r="D410" s="90"/>
      <c r="E410" s="90"/>
      <c r="G410" s="122">
        <f t="shared" si="61"/>
        <v>0</v>
      </c>
      <c r="H410" s="123" t="e">
        <f t="shared" si="62"/>
        <v>#DIV/0!</v>
      </c>
    </row>
    <row r="411" spans="1:8" hidden="1" x14ac:dyDescent="0.2">
      <c r="A411" s="58"/>
      <c r="B411" s="58" t="s">
        <v>189</v>
      </c>
      <c r="C411" s="59" t="s">
        <v>190</v>
      </c>
      <c r="D411" s="27"/>
      <c r="E411" s="28">
        <f>'Buget 2024'!D411</f>
        <v>0</v>
      </c>
      <c r="G411" s="122">
        <f t="shared" si="61"/>
        <v>0</v>
      </c>
      <c r="H411" s="123" t="e">
        <f t="shared" si="62"/>
        <v>#DIV/0!</v>
      </c>
    </row>
    <row r="412" spans="1:8" hidden="1" x14ac:dyDescent="0.2">
      <c r="A412" s="58"/>
      <c r="B412" s="60" t="s">
        <v>191</v>
      </c>
      <c r="C412" s="61" t="s">
        <v>192</v>
      </c>
      <c r="D412" s="27"/>
      <c r="E412" s="28">
        <f>'Buget 2024'!D412</f>
        <v>0</v>
      </c>
      <c r="G412" s="122">
        <f t="shared" si="61"/>
        <v>0</v>
      </c>
      <c r="H412" s="123" t="e">
        <f t="shared" si="62"/>
        <v>#DIV/0!</v>
      </c>
    </row>
    <row r="413" spans="1:8" hidden="1" x14ac:dyDescent="0.2">
      <c r="A413" s="58" t="s">
        <v>29</v>
      </c>
      <c r="B413" s="58" t="s">
        <v>302</v>
      </c>
      <c r="C413" s="69" t="s">
        <v>114</v>
      </c>
      <c r="D413" s="90"/>
      <c r="E413" s="90"/>
      <c r="G413" s="122">
        <f t="shared" si="61"/>
        <v>0</v>
      </c>
      <c r="H413" s="123" t="e">
        <f t="shared" si="62"/>
        <v>#DIV/0!</v>
      </c>
    </row>
    <row r="414" spans="1:8" hidden="1" x14ac:dyDescent="0.2">
      <c r="A414" s="58"/>
      <c r="B414" s="58" t="s">
        <v>189</v>
      </c>
      <c r="C414" s="59" t="s">
        <v>190</v>
      </c>
      <c r="D414" s="27">
        <v>0</v>
      </c>
      <c r="E414" s="28">
        <f>'Buget 2024'!D414</f>
        <v>0</v>
      </c>
      <c r="G414" s="122">
        <f t="shared" si="61"/>
        <v>0</v>
      </c>
      <c r="H414" s="123" t="e">
        <f t="shared" si="62"/>
        <v>#DIV/0!</v>
      </c>
    </row>
    <row r="415" spans="1:8" hidden="1" x14ac:dyDescent="0.2">
      <c r="A415" s="58"/>
      <c r="B415" s="60" t="s">
        <v>191</v>
      </c>
      <c r="C415" s="61" t="s">
        <v>192</v>
      </c>
      <c r="D415" s="27">
        <v>0</v>
      </c>
      <c r="E415" s="28">
        <f>'Buget 2024'!D415</f>
        <v>0</v>
      </c>
      <c r="G415" s="122">
        <f t="shared" si="61"/>
        <v>0</v>
      </c>
      <c r="H415" s="123" t="e">
        <f t="shared" si="62"/>
        <v>#DIV/0!</v>
      </c>
    </row>
    <row r="416" spans="1:8" hidden="1" x14ac:dyDescent="0.2">
      <c r="A416" s="81" t="s">
        <v>29</v>
      </c>
      <c r="B416" s="81" t="s">
        <v>326</v>
      </c>
      <c r="C416" s="92" t="s">
        <v>325</v>
      </c>
      <c r="D416" s="83"/>
      <c r="E416" s="83"/>
      <c r="G416" s="122">
        <f t="shared" si="61"/>
        <v>0</v>
      </c>
      <c r="H416" s="123" t="e">
        <f t="shared" si="62"/>
        <v>#DIV/0!</v>
      </c>
    </row>
    <row r="417" spans="1:8" hidden="1" x14ac:dyDescent="0.2">
      <c r="A417" s="81"/>
      <c r="B417" s="22" t="s">
        <v>189</v>
      </c>
      <c r="C417" s="53" t="s">
        <v>190</v>
      </c>
      <c r="D417" s="83">
        <f t="shared" ref="D417:E418" si="63">D420+D423</f>
        <v>0</v>
      </c>
      <c r="E417" s="83">
        <f t="shared" si="63"/>
        <v>0</v>
      </c>
      <c r="G417" s="122">
        <f t="shared" si="61"/>
        <v>0</v>
      </c>
      <c r="H417" s="123" t="e">
        <f t="shared" si="62"/>
        <v>#DIV/0!</v>
      </c>
    </row>
    <row r="418" spans="1:8" hidden="1" x14ac:dyDescent="0.2">
      <c r="A418" s="81"/>
      <c r="B418" s="22" t="s">
        <v>191</v>
      </c>
      <c r="C418" s="53" t="s">
        <v>192</v>
      </c>
      <c r="D418" s="83">
        <f t="shared" si="63"/>
        <v>0</v>
      </c>
      <c r="E418" s="83">
        <f t="shared" si="63"/>
        <v>0</v>
      </c>
      <c r="G418" s="122">
        <f t="shared" si="61"/>
        <v>0</v>
      </c>
      <c r="H418" s="123" t="e">
        <f t="shared" si="62"/>
        <v>#DIV/0!</v>
      </c>
    </row>
    <row r="419" spans="1:8" hidden="1" x14ac:dyDescent="0.2">
      <c r="A419" s="84" t="s">
        <v>29</v>
      </c>
      <c r="B419" s="84" t="s">
        <v>327</v>
      </c>
      <c r="C419" s="89" t="s">
        <v>243</v>
      </c>
      <c r="D419" s="35"/>
      <c r="E419" s="35"/>
      <c r="G419" s="122">
        <f t="shared" si="61"/>
        <v>0</v>
      </c>
      <c r="H419" s="123" t="e">
        <f t="shared" si="62"/>
        <v>#DIV/0!</v>
      </c>
    </row>
    <row r="420" spans="1:8" hidden="1" x14ac:dyDescent="0.2">
      <c r="A420" s="84"/>
      <c r="B420" s="58" t="s">
        <v>189</v>
      </c>
      <c r="C420" s="59" t="s">
        <v>190</v>
      </c>
      <c r="D420" s="27"/>
      <c r="E420" s="28">
        <f>'Buget 2024'!D420</f>
        <v>0</v>
      </c>
      <c r="G420" s="122">
        <f t="shared" si="61"/>
        <v>0</v>
      </c>
      <c r="H420" s="123" t="e">
        <f t="shared" si="62"/>
        <v>#DIV/0!</v>
      </c>
    </row>
    <row r="421" spans="1:8" hidden="1" x14ac:dyDescent="0.2">
      <c r="A421" s="84"/>
      <c r="B421" s="60" t="s">
        <v>191</v>
      </c>
      <c r="C421" s="61" t="s">
        <v>192</v>
      </c>
      <c r="D421" s="27"/>
      <c r="E421" s="28">
        <f>'Buget 2024'!D421</f>
        <v>0</v>
      </c>
      <c r="G421" s="122">
        <f t="shared" si="61"/>
        <v>0</v>
      </c>
      <c r="H421" s="123" t="e">
        <f t="shared" si="62"/>
        <v>#DIV/0!</v>
      </c>
    </row>
    <row r="422" spans="1:8" hidden="1" x14ac:dyDescent="0.2">
      <c r="A422" s="58" t="s">
        <v>29</v>
      </c>
      <c r="B422" s="58" t="s">
        <v>328</v>
      </c>
      <c r="C422" s="69" t="s">
        <v>114</v>
      </c>
      <c r="D422" s="91"/>
      <c r="E422" s="90"/>
      <c r="G422" s="122">
        <f t="shared" si="61"/>
        <v>0</v>
      </c>
      <c r="H422" s="123" t="e">
        <f t="shared" si="62"/>
        <v>#DIV/0!</v>
      </c>
    </row>
    <row r="423" spans="1:8" hidden="1" x14ac:dyDescent="0.2">
      <c r="A423" s="58"/>
      <c r="B423" s="58" t="s">
        <v>189</v>
      </c>
      <c r="C423" s="59" t="s">
        <v>190</v>
      </c>
      <c r="D423" s="27"/>
      <c r="E423" s="28">
        <f>'Buget 2024'!D423</f>
        <v>0</v>
      </c>
      <c r="G423" s="122">
        <f t="shared" si="61"/>
        <v>0</v>
      </c>
      <c r="H423" s="123" t="e">
        <f t="shared" si="62"/>
        <v>#DIV/0!</v>
      </c>
    </row>
    <row r="424" spans="1:8" hidden="1" x14ac:dyDescent="0.2">
      <c r="A424" s="58"/>
      <c r="B424" s="60" t="s">
        <v>191</v>
      </c>
      <c r="C424" s="61" t="s">
        <v>192</v>
      </c>
      <c r="D424" s="27"/>
      <c r="E424" s="28">
        <f>'Buget 2024'!D424</f>
        <v>0</v>
      </c>
      <c r="G424" s="122">
        <f t="shared" si="61"/>
        <v>0</v>
      </c>
      <c r="H424" s="123" t="e">
        <f t="shared" si="62"/>
        <v>#DIV/0!</v>
      </c>
    </row>
    <row r="425" spans="1:8" hidden="1" x14ac:dyDescent="0.2">
      <c r="A425" s="81" t="s">
        <v>29</v>
      </c>
      <c r="B425" s="81" t="s">
        <v>123</v>
      </c>
      <c r="C425" s="93" t="s">
        <v>186</v>
      </c>
      <c r="D425" s="83"/>
      <c r="E425" s="83"/>
      <c r="G425" s="122">
        <f t="shared" si="61"/>
        <v>0</v>
      </c>
      <c r="H425" s="123" t="e">
        <f t="shared" si="62"/>
        <v>#DIV/0!</v>
      </c>
    </row>
    <row r="426" spans="1:8" hidden="1" x14ac:dyDescent="0.2">
      <c r="A426" s="81"/>
      <c r="B426" s="22" t="s">
        <v>189</v>
      </c>
      <c r="C426" s="53" t="s">
        <v>190</v>
      </c>
      <c r="D426" s="83">
        <f>D429+D432+D435</f>
        <v>0</v>
      </c>
      <c r="E426" s="83">
        <f t="shared" ref="E426:E427" si="64">E429+E432+E435</f>
        <v>0</v>
      </c>
      <c r="G426" s="122">
        <f t="shared" si="61"/>
        <v>0</v>
      </c>
      <c r="H426" s="123" t="e">
        <f t="shared" si="62"/>
        <v>#DIV/0!</v>
      </c>
    </row>
    <row r="427" spans="1:8" hidden="1" x14ac:dyDescent="0.2">
      <c r="A427" s="81"/>
      <c r="B427" s="22" t="s">
        <v>191</v>
      </c>
      <c r="C427" s="53" t="s">
        <v>192</v>
      </c>
      <c r="D427" s="83">
        <f>D430+D433+D436</f>
        <v>0</v>
      </c>
      <c r="E427" s="83">
        <f t="shared" si="64"/>
        <v>0</v>
      </c>
      <c r="G427" s="122">
        <f t="shared" si="61"/>
        <v>0</v>
      </c>
      <c r="H427" s="123" t="e">
        <f t="shared" si="62"/>
        <v>#DIV/0!</v>
      </c>
    </row>
    <row r="428" spans="1:8" hidden="1" x14ac:dyDescent="0.2">
      <c r="A428" s="58" t="s">
        <v>29</v>
      </c>
      <c r="B428" s="58" t="s">
        <v>273</v>
      </c>
      <c r="C428" s="33" t="s">
        <v>240</v>
      </c>
      <c r="D428" s="90"/>
      <c r="E428" s="90"/>
      <c r="G428" s="122">
        <f t="shared" si="61"/>
        <v>0</v>
      </c>
      <c r="H428" s="123" t="e">
        <f t="shared" si="62"/>
        <v>#DIV/0!</v>
      </c>
    </row>
    <row r="429" spans="1:8" hidden="1" x14ac:dyDescent="0.2">
      <c r="A429" s="58"/>
      <c r="B429" s="58" t="s">
        <v>189</v>
      </c>
      <c r="C429" s="59" t="s">
        <v>190</v>
      </c>
      <c r="D429" s="27"/>
      <c r="E429" s="28">
        <f>'Buget 2024'!D429</f>
        <v>0</v>
      </c>
      <c r="G429" s="122">
        <f t="shared" si="61"/>
        <v>0</v>
      </c>
      <c r="H429" s="123" t="e">
        <f t="shared" si="62"/>
        <v>#DIV/0!</v>
      </c>
    </row>
    <row r="430" spans="1:8" hidden="1" x14ac:dyDescent="0.2">
      <c r="A430" s="58"/>
      <c r="B430" s="60" t="s">
        <v>191</v>
      </c>
      <c r="C430" s="61" t="s">
        <v>192</v>
      </c>
      <c r="D430" s="27"/>
      <c r="E430" s="28">
        <f>'Buget 2024'!D430</f>
        <v>0</v>
      </c>
      <c r="G430" s="122">
        <f t="shared" si="61"/>
        <v>0</v>
      </c>
      <c r="H430" s="123" t="e">
        <f t="shared" si="62"/>
        <v>#DIV/0!</v>
      </c>
    </row>
    <row r="431" spans="1:8" hidden="1" x14ac:dyDescent="0.2">
      <c r="A431" s="58" t="s">
        <v>29</v>
      </c>
      <c r="B431" s="58" t="s">
        <v>124</v>
      </c>
      <c r="C431" s="89" t="s">
        <v>243</v>
      </c>
      <c r="D431" s="90"/>
      <c r="E431" s="90"/>
      <c r="G431" s="122">
        <f t="shared" si="61"/>
        <v>0</v>
      </c>
      <c r="H431" s="123" t="e">
        <f t="shared" si="62"/>
        <v>#DIV/0!</v>
      </c>
    </row>
    <row r="432" spans="1:8" hidden="1" x14ac:dyDescent="0.2">
      <c r="A432" s="58"/>
      <c r="B432" s="58" t="s">
        <v>189</v>
      </c>
      <c r="C432" s="59" t="s">
        <v>190</v>
      </c>
      <c r="D432" s="27"/>
      <c r="E432" s="28">
        <f>'Buget 2024'!D432</f>
        <v>0</v>
      </c>
      <c r="G432" s="122">
        <f t="shared" si="61"/>
        <v>0</v>
      </c>
      <c r="H432" s="123" t="e">
        <f t="shared" si="62"/>
        <v>#DIV/0!</v>
      </c>
    </row>
    <row r="433" spans="1:8" hidden="1" x14ac:dyDescent="0.2">
      <c r="A433" s="58"/>
      <c r="B433" s="60" t="s">
        <v>191</v>
      </c>
      <c r="C433" s="61" t="s">
        <v>192</v>
      </c>
      <c r="D433" s="27"/>
      <c r="E433" s="28">
        <f>'Buget 2024'!D433</f>
        <v>0</v>
      </c>
      <c r="G433" s="122">
        <f t="shared" si="61"/>
        <v>0</v>
      </c>
      <c r="H433" s="123" t="e">
        <f t="shared" si="62"/>
        <v>#DIV/0!</v>
      </c>
    </row>
    <row r="434" spans="1:8" hidden="1" x14ac:dyDescent="0.2">
      <c r="A434" s="58" t="s">
        <v>29</v>
      </c>
      <c r="B434" s="58" t="s">
        <v>125</v>
      </c>
      <c r="C434" s="33" t="s">
        <v>114</v>
      </c>
      <c r="D434" s="35"/>
      <c r="E434" s="35"/>
      <c r="G434" s="122">
        <f t="shared" si="61"/>
        <v>0</v>
      </c>
      <c r="H434" s="123" t="e">
        <f t="shared" si="62"/>
        <v>#DIV/0!</v>
      </c>
    </row>
    <row r="435" spans="1:8" hidden="1" x14ac:dyDescent="0.2">
      <c r="A435" s="58"/>
      <c r="B435" s="58" t="s">
        <v>189</v>
      </c>
      <c r="C435" s="59" t="s">
        <v>190</v>
      </c>
      <c r="D435" s="27"/>
      <c r="E435" s="28">
        <f>'Buget 2024'!D435</f>
        <v>0</v>
      </c>
      <c r="G435" s="122">
        <f t="shared" si="61"/>
        <v>0</v>
      </c>
      <c r="H435" s="123" t="e">
        <f t="shared" si="62"/>
        <v>#DIV/0!</v>
      </c>
    </row>
    <row r="436" spans="1:8" hidden="1" x14ac:dyDescent="0.2">
      <c r="A436" s="58"/>
      <c r="B436" s="60" t="s">
        <v>191</v>
      </c>
      <c r="C436" s="61" t="s">
        <v>192</v>
      </c>
      <c r="D436" s="27"/>
      <c r="E436" s="28">
        <f>'Buget 2024'!D436</f>
        <v>0</v>
      </c>
      <c r="G436" s="122">
        <f t="shared" si="61"/>
        <v>0</v>
      </c>
      <c r="H436" s="123" t="e">
        <f t="shared" si="62"/>
        <v>#DIV/0!</v>
      </c>
    </row>
    <row r="437" spans="1:8" x14ac:dyDescent="0.2">
      <c r="A437" s="22" t="s">
        <v>29</v>
      </c>
      <c r="B437" s="94" t="s">
        <v>35</v>
      </c>
      <c r="C437" s="95" t="s">
        <v>105</v>
      </c>
      <c r="D437" s="96"/>
      <c r="E437" s="96"/>
      <c r="G437" s="122">
        <f t="shared" si="61"/>
        <v>0</v>
      </c>
      <c r="H437" s="123" t="e">
        <f t="shared" si="62"/>
        <v>#DIV/0!</v>
      </c>
    </row>
    <row r="438" spans="1:8" x14ac:dyDescent="0.2">
      <c r="A438" s="22"/>
      <c r="B438" s="22" t="s">
        <v>189</v>
      </c>
      <c r="C438" s="53" t="s">
        <v>190</v>
      </c>
      <c r="D438" s="96">
        <f>D441+D444+D447</f>
        <v>6787</v>
      </c>
      <c r="E438" s="96">
        <f>E441+E444+E447</f>
        <v>47064</v>
      </c>
      <c r="G438" s="122">
        <f t="shared" si="61"/>
        <v>40277</v>
      </c>
      <c r="H438" s="123">
        <f t="shared" si="62"/>
        <v>593.4433475762487</v>
      </c>
    </row>
    <row r="439" spans="1:8" x14ac:dyDescent="0.2">
      <c r="A439" s="22"/>
      <c r="B439" s="22" t="s">
        <v>191</v>
      </c>
      <c r="C439" s="53" t="s">
        <v>192</v>
      </c>
      <c r="D439" s="96">
        <f>D442+D445+D448</f>
        <v>5233</v>
      </c>
      <c r="E439" s="96">
        <f>E442+E445+E448</f>
        <v>47064</v>
      </c>
      <c r="G439" s="122">
        <f t="shared" si="61"/>
        <v>41831</v>
      </c>
      <c r="H439" s="123">
        <f t="shared" si="62"/>
        <v>799.36938658513282</v>
      </c>
    </row>
    <row r="440" spans="1:8" x14ac:dyDescent="0.2">
      <c r="A440" s="32" t="s">
        <v>29</v>
      </c>
      <c r="B440" s="58" t="s">
        <v>126</v>
      </c>
      <c r="C440" s="59" t="s">
        <v>244</v>
      </c>
      <c r="D440" s="35"/>
      <c r="E440" s="35"/>
      <c r="G440" s="122">
        <f t="shared" si="61"/>
        <v>0</v>
      </c>
      <c r="H440" s="123" t="e">
        <f t="shared" si="62"/>
        <v>#DIV/0!</v>
      </c>
    </row>
    <row r="441" spans="1:8" x14ac:dyDescent="0.2">
      <c r="A441" s="32"/>
      <c r="B441" s="58" t="s">
        <v>189</v>
      </c>
      <c r="C441" s="59" t="s">
        <v>190</v>
      </c>
      <c r="D441" s="27"/>
      <c r="E441" s="28">
        <f>'Buget 2024'!D441</f>
        <v>10</v>
      </c>
      <c r="G441" s="122">
        <f t="shared" si="61"/>
        <v>10</v>
      </c>
      <c r="H441" s="123" t="e">
        <f t="shared" si="62"/>
        <v>#DIV/0!</v>
      </c>
    </row>
    <row r="442" spans="1:8" x14ac:dyDescent="0.2">
      <c r="A442" s="32"/>
      <c r="B442" s="60" t="s">
        <v>191</v>
      </c>
      <c r="C442" s="61" t="s">
        <v>192</v>
      </c>
      <c r="D442" s="27"/>
      <c r="E442" s="28">
        <f>'Buget 2024'!D442</f>
        <v>10</v>
      </c>
      <c r="G442" s="122">
        <f t="shared" si="61"/>
        <v>10</v>
      </c>
      <c r="H442" s="123" t="e">
        <f t="shared" si="62"/>
        <v>#DIV/0!</v>
      </c>
    </row>
    <row r="443" spans="1:8" x14ac:dyDescent="0.2">
      <c r="A443" s="32" t="s">
        <v>245</v>
      </c>
      <c r="B443" s="58" t="s">
        <v>158</v>
      </c>
      <c r="C443" s="59" t="s">
        <v>159</v>
      </c>
      <c r="D443" s="35"/>
      <c r="E443" s="35"/>
      <c r="G443" s="122">
        <f t="shared" ref="G443:G445" si="65">E443-D443</f>
        <v>0</v>
      </c>
      <c r="H443" s="123" t="e">
        <f t="shared" ref="H443:H445" si="66">G443/D443*100</f>
        <v>#DIV/0!</v>
      </c>
    </row>
    <row r="444" spans="1:8" x14ac:dyDescent="0.2">
      <c r="A444" s="32"/>
      <c r="B444" s="58" t="s">
        <v>189</v>
      </c>
      <c r="C444" s="59" t="s">
        <v>190</v>
      </c>
      <c r="D444" s="27">
        <v>6787</v>
      </c>
      <c r="E444" s="28">
        <f>'Buget 2024'!D444</f>
        <v>9366</v>
      </c>
      <c r="G444" s="122">
        <f t="shared" si="65"/>
        <v>2579</v>
      </c>
      <c r="H444" s="123">
        <f t="shared" si="66"/>
        <v>37.999115956976567</v>
      </c>
    </row>
    <row r="445" spans="1:8" x14ac:dyDescent="0.2">
      <c r="A445" s="32"/>
      <c r="B445" s="60" t="s">
        <v>191</v>
      </c>
      <c r="C445" s="61" t="s">
        <v>192</v>
      </c>
      <c r="D445" s="27">
        <v>5233</v>
      </c>
      <c r="E445" s="28">
        <f>'Buget 2024'!D445</f>
        <v>9366</v>
      </c>
      <c r="G445" s="122">
        <f t="shared" si="65"/>
        <v>4133</v>
      </c>
      <c r="H445" s="123">
        <f t="shared" si="66"/>
        <v>78.979552837760366</v>
      </c>
    </row>
    <row r="446" spans="1:8" x14ac:dyDescent="0.2">
      <c r="A446" s="32" t="s">
        <v>245</v>
      </c>
      <c r="B446" s="58" t="s">
        <v>411</v>
      </c>
      <c r="C446" s="59" t="s">
        <v>412</v>
      </c>
      <c r="D446" s="35"/>
      <c r="E446" s="35"/>
      <c r="G446" s="122">
        <f t="shared" si="61"/>
        <v>0</v>
      </c>
      <c r="H446" s="123" t="e">
        <f t="shared" si="62"/>
        <v>#DIV/0!</v>
      </c>
    </row>
    <row r="447" spans="1:8" x14ac:dyDescent="0.2">
      <c r="A447" s="32"/>
      <c r="B447" s="58" t="s">
        <v>189</v>
      </c>
      <c r="C447" s="59" t="s">
        <v>190</v>
      </c>
      <c r="D447" s="27"/>
      <c r="E447" s="28">
        <f>'Buget 2024'!D447</f>
        <v>37688</v>
      </c>
      <c r="G447" s="122">
        <f t="shared" si="61"/>
        <v>37688</v>
      </c>
      <c r="H447" s="123" t="e">
        <f t="shared" si="62"/>
        <v>#DIV/0!</v>
      </c>
    </row>
    <row r="448" spans="1:8" x14ac:dyDescent="0.2">
      <c r="A448" s="32"/>
      <c r="B448" s="60" t="s">
        <v>191</v>
      </c>
      <c r="C448" s="61" t="s">
        <v>192</v>
      </c>
      <c r="D448" s="27"/>
      <c r="E448" s="28">
        <f>'Buget 2024'!D448</f>
        <v>37688</v>
      </c>
      <c r="G448" s="122">
        <f t="shared" si="61"/>
        <v>37688</v>
      </c>
      <c r="H448" s="123" t="e">
        <f t="shared" si="62"/>
        <v>#DIV/0!</v>
      </c>
    </row>
    <row r="449" spans="1:8" x14ac:dyDescent="0.2">
      <c r="A449" s="22" t="s">
        <v>29</v>
      </c>
      <c r="B449" s="22" t="s">
        <v>127</v>
      </c>
      <c r="C449" s="23" t="s">
        <v>128</v>
      </c>
      <c r="D449" s="24"/>
      <c r="E449" s="24"/>
      <c r="G449" s="122">
        <f t="shared" si="61"/>
        <v>0</v>
      </c>
      <c r="H449" s="123" t="e">
        <f t="shared" si="62"/>
        <v>#DIV/0!</v>
      </c>
    </row>
    <row r="450" spans="1:8" x14ac:dyDescent="0.2">
      <c r="A450" s="22"/>
      <c r="B450" s="22" t="s">
        <v>189</v>
      </c>
      <c r="C450" s="23" t="s">
        <v>190</v>
      </c>
      <c r="D450" s="24">
        <f>D453+D474</f>
        <v>101051</v>
      </c>
      <c r="E450" s="24">
        <f>E453+E474</f>
        <v>335511</v>
      </c>
      <c r="G450" s="122">
        <f t="shared" si="61"/>
        <v>234460</v>
      </c>
      <c r="H450" s="123">
        <f t="shared" si="62"/>
        <v>232.02145451306765</v>
      </c>
    </row>
    <row r="451" spans="1:8" x14ac:dyDescent="0.2">
      <c r="A451" s="22"/>
      <c r="B451" s="22" t="s">
        <v>191</v>
      </c>
      <c r="C451" s="53" t="s">
        <v>192</v>
      </c>
      <c r="D451" s="24">
        <f>D454+D475</f>
        <v>61647</v>
      </c>
      <c r="E451" s="24">
        <f>E454+E475</f>
        <v>306052</v>
      </c>
      <c r="G451" s="122">
        <f t="shared" si="61"/>
        <v>244405</v>
      </c>
      <c r="H451" s="123">
        <f t="shared" si="62"/>
        <v>396.45887066686134</v>
      </c>
    </row>
    <row r="452" spans="1:8" x14ac:dyDescent="0.2">
      <c r="A452" s="22" t="s">
        <v>29</v>
      </c>
      <c r="B452" s="22" t="s">
        <v>129</v>
      </c>
      <c r="C452" s="23" t="s">
        <v>130</v>
      </c>
      <c r="D452" s="24"/>
      <c r="E452" s="24"/>
      <c r="G452" s="122">
        <f t="shared" si="61"/>
        <v>0</v>
      </c>
      <c r="H452" s="123" t="e">
        <f t="shared" si="62"/>
        <v>#DIV/0!</v>
      </c>
    </row>
    <row r="453" spans="1:8" x14ac:dyDescent="0.2">
      <c r="A453" s="22"/>
      <c r="B453" s="22" t="s">
        <v>189</v>
      </c>
      <c r="C453" s="23" t="s">
        <v>190</v>
      </c>
      <c r="D453" s="24">
        <f t="shared" ref="D453:E454" si="67">D456+D471</f>
        <v>101051</v>
      </c>
      <c r="E453" s="24">
        <f t="shared" si="67"/>
        <v>335511</v>
      </c>
      <c r="G453" s="122">
        <f t="shared" si="61"/>
        <v>234460</v>
      </c>
      <c r="H453" s="123">
        <f t="shared" si="62"/>
        <v>232.02145451306765</v>
      </c>
    </row>
    <row r="454" spans="1:8" x14ac:dyDescent="0.2">
      <c r="A454" s="22"/>
      <c r="B454" s="22" t="s">
        <v>191</v>
      </c>
      <c r="C454" s="53" t="s">
        <v>192</v>
      </c>
      <c r="D454" s="24">
        <f t="shared" si="67"/>
        <v>61647</v>
      </c>
      <c r="E454" s="24">
        <f t="shared" si="67"/>
        <v>306052</v>
      </c>
      <c r="G454" s="122">
        <f t="shared" si="61"/>
        <v>244405</v>
      </c>
      <c r="H454" s="123">
        <f t="shared" si="62"/>
        <v>396.45887066686134</v>
      </c>
    </row>
    <row r="455" spans="1:8" x14ac:dyDescent="0.2">
      <c r="A455" s="22" t="s">
        <v>29</v>
      </c>
      <c r="B455" s="22" t="s">
        <v>131</v>
      </c>
      <c r="C455" s="23" t="s">
        <v>132</v>
      </c>
      <c r="D455" s="24"/>
      <c r="E455" s="24"/>
      <c r="G455" s="122">
        <f t="shared" si="61"/>
        <v>0</v>
      </c>
      <c r="H455" s="123" t="e">
        <f t="shared" si="62"/>
        <v>#DIV/0!</v>
      </c>
    </row>
    <row r="456" spans="1:8" x14ac:dyDescent="0.2">
      <c r="A456" s="22"/>
      <c r="B456" s="22" t="s">
        <v>189</v>
      </c>
      <c r="C456" s="23" t="s">
        <v>190</v>
      </c>
      <c r="D456" s="24">
        <f t="shared" ref="D456:E457" si="68">D459+D462+D465+D468</f>
        <v>96791</v>
      </c>
      <c r="E456" s="24">
        <f t="shared" si="68"/>
        <v>301827</v>
      </c>
      <c r="G456" s="122">
        <f t="shared" si="61"/>
        <v>205036</v>
      </c>
      <c r="H456" s="123">
        <f t="shared" si="62"/>
        <v>211.83374487297374</v>
      </c>
    </row>
    <row r="457" spans="1:8" x14ac:dyDescent="0.2">
      <c r="A457" s="22"/>
      <c r="B457" s="22" t="s">
        <v>191</v>
      </c>
      <c r="C457" s="53" t="s">
        <v>192</v>
      </c>
      <c r="D457" s="24">
        <f t="shared" si="68"/>
        <v>55082</v>
      </c>
      <c r="E457" s="24">
        <f t="shared" si="68"/>
        <v>270568</v>
      </c>
      <c r="G457" s="122">
        <f t="shared" si="61"/>
        <v>215486</v>
      </c>
      <c r="H457" s="123">
        <f t="shared" si="62"/>
        <v>391.20946951817291</v>
      </c>
    </row>
    <row r="458" spans="1:8" x14ac:dyDescent="0.2">
      <c r="A458" s="32" t="s">
        <v>29</v>
      </c>
      <c r="B458" s="73" t="s">
        <v>133</v>
      </c>
      <c r="C458" s="33" t="s">
        <v>134</v>
      </c>
      <c r="D458" s="35"/>
      <c r="E458" s="35"/>
      <c r="G458" s="122">
        <f t="shared" si="61"/>
        <v>0</v>
      </c>
      <c r="H458" s="123" t="e">
        <f t="shared" si="62"/>
        <v>#DIV/0!</v>
      </c>
    </row>
    <row r="459" spans="1:8" x14ac:dyDescent="0.2">
      <c r="A459" s="32"/>
      <c r="B459" s="60" t="s">
        <v>189</v>
      </c>
      <c r="C459" s="97" t="s">
        <v>190</v>
      </c>
      <c r="D459" s="27">
        <f>99902-17991</f>
        <v>81911</v>
      </c>
      <c r="E459" s="28">
        <f>'Buget 2024'!D459</f>
        <v>265739</v>
      </c>
      <c r="G459" s="122">
        <f t="shared" si="61"/>
        <v>183828</v>
      </c>
      <c r="H459" s="123">
        <f t="shared" si="62"/>
        <v>224.42407002722467</v>
      </c>
    </row>
    <row r="460" spans="1:8" x14ac:dyDescent="0.2">
      <c r="A460" s="32"/>
      <c r="B460" s="60" t="s">
        <v>191</v>
      </c>
      <c r="C460" s="97" t="s">
        <v>192</v>
      </c>
      <c r="D460" s="27">
        <v>44813</v>
      </c>
      <c r="E460" s="28">
        <f>'Buget 2024'!D460</f>
        <v>234480</v>
      </c>
      <c r="G460" s="122">
        <f t="shared" si="61"/>
        <v>189667</v>
      </c>
      <c r="H460" s="123">
        <f t="shared" si="62"/>
        <v>423.24102381005514</v>
      </c>
    </row>
    <row r="461" spans="1:8" x14ac:dyDescent="0.2">
      <c r="A461" s="32" t="s">
        <v>29</v>
      </c>
      <c r="B461" s="73" t="s">
        <v>135</v>
      </c>
      <c r="C461" s="33" t="s">
        <v>136</v>
      </c>
      <c r="D461" s="34"/>
      <c r="E461" s="35"/>
      <c r="G461" s="122">
        <f t="shared" si="61"/>
        <v>0</v>
      </c>
      <c r="H461" s="123" t="e">
        <f t="shared" si="62"/>
        <v>#DIV/0!</v>
      </c>
    </row>
    <row r="462" spans="1:8" x14ac:dyDescent="0.2">
      <c r="A462" s="32"/>
      <c r="B462" s="60" t="s">
        <v>189</v>
      </c>
      <c r="C462" s="97" t="s">
        <v>190</v>
      </c>
      <c r="D462" s="27">
        <v>14024</v>
      </c>
      <c r="E462" s="28">
        <f>'Buget 2024'!D462</f>
        <v>32012</v>
      </c>
      <c r="G462" s="122">
        <f t="shared" si="61"/>
        <v>17988</v>
      </c>
      <c r="H462" s="123">
        <f t="shared" si="62"/>
        <v>128.26583000570452</v>
      </c>
    </row>
    <row r="463" spans="1:8" x14ac:dyDescent="0.2">
      <c r="A463" s="32"/>
      <c r="B463" s="60" t="s">
        <v>191</v>
      </c>
      <c r="C463" s="97" t="s">
        <v>192</v>
      </c>
      <c r="D463" s="27">
        <v>9995</v>
      </c>
      <c r="E463" s="28">
        <f>'Buget 2024'!D463</f>
        <v>32012</v>
      </c>
      <c r="G463" s="122">
        <f t="shared" si="61"/>
        <v>22017</v>
      </c>
      <c r="H463" s="123">
        <f t="shared" si="62"/>
        <v>220.28014007003503</v>
      </c>
    </row>
    <row r="464" spans="1:8" hidden="1" x14ac:dyDescent="0.2">
      <c r="A464" s="32" t="s">
        <v>29</v>
      </c>
      <c r="B464" s="73" t="s">
        <v>137</v>
      </c>
      <c r="C464" s="33" t="s">
        <v>138</v>
      </c>
      <c r="D464" s="34"/>
      <c r="E464" s="35"/>
      <c r="G464" s="122">
        <f t="shared" si="61"/>
        <v>0</v>
      </c>
      <c r="H464" s="123" t="e">
        <f t="shared" si="62"/>
        <v>#DIV/0!</v>
      </c>
    </row>
    <row r="465" spans="1:8" hidden="1" x14ac:dyDescent="0.2">
      <c r="A465" s="32"/>
      <c r="B465" s="60" t="s">
        <v>189</v>
      </c>
      <c r="C465" s="97" t="s">
        <v>190</v>
      </c>
      <c r="D465" s="27"/>
      <c r="E465" s="28">
        <f>'Buget 2024'!D465</f>
        <v>0</v>
      </c>
      <c r="G465" s="122">
        <f t="shared" si="61"/>
        <v>0</v>
      </c>
      <c r="H465" s="123" t="e">
        <f t="shared" si="62"/>
        <v>#DIV/0!</v>
      </c>
    </row>
    <row r="466" spans="1:8" hidden="1" x14ac:dyDescent="0.2">
      <c r="A466" s="32"/>
      <c r="B466" s="60" t="s">
        <v>191</v>
      </c>
      <c r="C466" s="97" t="s">
        <v>192</v>
      </c>
      <c r="D466" s="27"/>
      <c r="E466" s="28">
        <f>'Buget 2024'!D466</f>
        <v>0</v>
      </c>
      <c r="G466" s="122">
        <f t="shared" si="61"/>
        <v>0</v>
      </c>
      <c r="H466" s="123" t="e">
        <f t="shared" si="62"/>
        <v>#DIV/0!</v>
      </c>
    </row>
    <row r="467" spans="1:8" x14ac:dyDescent="0.2">
      <c r="A467" s="32" t="s">
        <v>29</v>
      </c>
      <c r="B467" s="73" t="s">
        <v>139</v>
      </c>
      <c r="C467" s="33" t="s">
        <v>305</v>
      </c>
      <c r="D467" s="35"/>
      <c r="E467" s="35"/>
      <c r="G467" s="122">
        <f t="shared" si="61"/>
        <v>0</v>
      </c>
      <c r="H467" s="123" t="e">
        <f t="shared" si="62"/>
        <v>#DIV/0!</v>
      </c>
    </row>
    <row r="468" spans="1:8" x14ac:dyDescent="0.2">
      <c r="A468" s="32"/>
      <c r="B468" s="60" t="s">
        <v>189</v>
      </c>
      <c r="C468" s="97" t="s">
        <v>190</v>
      </c>
      <c r="D468" s="27">
        <v>856</v>
      </c>
      <c r="E468" s="28">
        <f>'Buget 2024'!D468</f>
        <v>4076</v>
      </c>
      <c r="G468" s="122">
        <f t="shared" si="61"/>
        <v>3220</v>
      </c>
      <c r="H468" s="123">
        <f t="shared" si="62"/>
        <v>376.1682242990654</v>
      </c>
    </row>
    <row r="469" spans="1:8" x14ac:dyDescent="0.2">
      <c r="A469" s="32"/>
      <c r="B469" s="60" t="s">
        <v>191</v>
      </c>
      <c r="C469" s="97" t="s">
        <v>192</v>
      </c>
      <c r="D469" s="27">
        <f>273+1</f>
        <v>274</v>
      </c>
      <c r="E469" s="28">
        <f>'Buget 2024'!D469</f>
        <v>4076</v>
      </c>
      <c r="G469" s="122">
        <f t="shared" si="61"/>
        <v>3802</v>
      </c>
      <c r="H469" s="123">
        <f t="shared" si="62"/>
        <v>1387.5912408759125</v>
      </c>
    </row>
    <row r="470" spans="1:8" x14ac:dyDescent="0.2">
      <c r="A470" s="22" t="s">
        <v>29</v>
      </c>
      <c r="B470" s="22" t="s">
        <v>140</v>
      </c>
      <c r="C470" s="41" t="s">
        <v>246</v>
      </c>
      <c r="D470" s="77"/>
      <c r="E470" s="77"/>
      <c r="G470" s="122">
        <f t="shared" si="61"/>
        <v>0</v>
      </c>
      <c r="H470" s="123" t="e">
        <f t="shared" si="62"/>
        <v>#DIV/0!</v>
      </c>
    </row>
    <row r="471" spans="1:8" x14ac:dyDescent="0.2">
      <c r="A471" s="22"/>
      <c r="B471" s="22" t="s">
        <v>189</v>
      </c>
      <c r="C471" s="53" t="s">
        <v>190</v>
      </c>
      <c r="D471" s="77">
        <f>33815-29555</f>
        <v>4260</v>
      </c>
      <c r="E471" s="77">
        <f>'Buget 2024'!D471</f>
        <v>33684</v>
      </c>
      <c r="G471" s="122">
        <f t="shared" si="61"/>
        <v>29424</v>
      </c>
      <c r="H471" s="123">
        <f t="shared" si="62"/>
        <v>690.70422535211264</v>
      </c>
    </row>
    <row r="472" spans="1:8" x14ac:dyDescent="0.2">
      <c r="A472" s="22"/>
      <c r="B472" s="22" t="s">
        <v>191</v>
      </c>
      <c r="C472" s="53" t="s">
        <v>192</v>
      </c>
      <c r="D472" s="77">
        <v>6565</v>
      </c>
      <c r="E472" s="77">
        <f>'Buget 2024'!D472</f>
        <v>35484</v>
      </c>
      <c r="G472" s="122">
        <f t="shared" si="61"/>
        <v>28919</v>
      </c>
      <c r="H472" s="123">
        <f t="shared" si="62"/>
        <v>440.50266565118051</v>
      </c>
    </row>
    <row r="473" spans="1:8" hidden="1" x14ac:dyDescent="0.2">
      <c r="A473" s="22" t="s">
        <v>29</v>
      </c>
      <c r="B473" s="22">
        <v>72</v>
      </c>
      <c r="C473" s="23" t="s">
        <v>365</v>
      </c>
      <c r="D473" s="77"/>
      <c r="E473" s="77"/>
      <c r="G473" s="122">
        <f t="shared" si="61"/>
        <v>0</v>
      </c>
      <c r="H473" s="123" t="e">
        <f t="shared" si="62"/>
        <v>#DIV/0!</v>
      </c>
    </row>
    <row r="474" spans="1:8" hidden="1" x14ac:dyDescent="0.2">
      <c r="A474" s="22"/>
      <c r="B474" s="22" t="s">
        <v>189</v>
      </c>
      <c r="C474" s="23" t="s">
        <v>190</v>
      </c>
      <c r="D474" s="77">
        <f>D477</f>
        <v>0</v>
      </c>
      <c r="E474" s="77">
        <f>E477</f>
        <v>0</v>
      </c>
      <c r="G474" s="122">
        <f t="shared" si="61"/>
        <v>0</v>
      </c>
      <c r="H474" s="123" t="e">
        <f t="shared" si="62"/>
        <v>#DIV/0!</v>
      </c>
    </row>
    <row r="475" spans="1:8" hidden="1" x14ac:dyDescent="0.2">
      <c r="A475" s="22"/>
      <c r="B475" s="22" t="s">
        <v>191</v>
      </c>
      <c r="C475" s="53" t="s">
        <v>192</v>
      </c>
      <c r="D475" s="77">
        <f>D478</f>
        <v>0</v>
      </c>
      <c r="E475" s="77">
        <f>E478</f>
        <v>0</v>
      </c>
      <c r="G475" s="122">
        <f t="shared" si="61"/>
        <v>0</v>
      </c>
      <c r="H475" s="123" t="e">
        <f t="shared" si="62"/>
        <v>#DIV/0!</v>
      </c>
    </row>
    <row r="476" spans="1:8" hidden="1" x14ac:dyDescent="0.2">
      <c r="A476" s="22" t="s">
        <v>29</v>
      </c>
      <c r="B476" s="22" t="s">
        <v>364</v>
      </c>
      <c r="C476" s="23" t="s">
        <v>365</v>
      </c>
      <c r="D476" s="77"/>
      <c r="E476" s="77"/>
      <c r="G476" s="122">
        <f t="shared" ref="G476:G539" si="69">E476-D476</f>
        <v>0</v>
      </c>
      <c r="H476" s="123" t="e">
        <f t="shared" ref="H476:H539" si="70">G476/D476*100</f>
        <v>#DIV/0!</v>
      </c>
    </row>
    <row r="477" spans="1:8" hidden="1" x14ac:dyDescent="0.2">
      <c r="A477" s="22"/>
      <c r="B477" s="22" t="s">
        <v>189</v>
      </c>
      <c r="C477" s="23" t="s">
        <v>190</v>
      </c>
      <c r="D477" s="77">
        <f>D480</f>
        <v>0</v>
      </c>
      <c r="E477" s="77">
        <f>E480</f>
        <v>0</v>
      </c>
      <c r="G477" s="122">
        <f t="shared" si="69"/>
        <v>0</v>
      </c>
      <c r="H477" s="123" t="e">
        <f t="shared" si="70"/>
        <v>#DIV/0!</v>
      </c>
    </row>
    <row r="478" spans="1:8" hidden="1" x14ac:dyDescent="0.2">
      <c r="A478" s="22"/>
      <c r="B478" s="22" t="s">
        <v>191</v>
      </c>
      <c r="C478" s="53" t="s">
        <v>192</v>
      </c>
      <c r="D478" s="77">
        <f>D481</f>
        <v>0</v>
      </c>
      <c r="E478" s="77">
        <f>E481</f>
        <v>0</v>
      </c>
      <c r="G478" s="122">
        <f t="shared" si="69"/>
        <v>0</v>
      </c>
      <c r="H478" s="123" t="e">
        <f t="shared" si="70"/>
        <v>#DIV/0!</v>
      </c>
    </row>
    <row r="479" spans="1:8" hidden="1" x14ac:dyDescent="0.2">
      <c r="A479" s="32" t="s">
        <v>29</v>
      </c>
      <c r="B479" s="73" t="s">
        <v>366</v>
      </c>
      <c r="C479" s="33" t="s">
        <v>367</v>
      </c>
      <c r="D479" s="34"/>
      <c r="E479" s="34"/>
      <c r="G479" s="122">
        <f t="shared" si="69"/>
        <v>0</v>
      </c>
      <c r="H479" s="123" t="e">
        <f t="shared" si="70"/>
        <v>#DIV/0!</v>
      </c>
    </row>
    <row r="480" spans="1:8" hidden="1" x14ac:dyDescent="0.2">
      <c r="A480" s="32"/>
      <c r="B480" s="60" t="s">
        <v>189</v>
      </c>
      <c r="C480" s="97" t="s">
        <v>190</v>
      </c>
      <c r="D480" s="34"/>
      <c r="E480" s="28">
        <f>'Buget 2024'!D480</f>
        <v>0</v>
      </c>
      <c r="G480" s="122">
        <f t="shared" si="69"/>
        <v>0</v>
      </c>
      <c r="H480" s="123" t="e">
        <f t="shared" si="70"/>
        <v>#DIV/0!</v>
      </c>
    </row>
    <row r="481" spans="1:55" hidden="1" x14ac:dyDescent="0.2">
      <c r="A481" s="32"/>
      <c r="B481" s="60" t="s">
        <v>191</v>
      </c>
      <c r="C481" s="97" t="s">
        <v>192</v>
      </c>
      <c r="D481" s="34"/>
      <c r="E481" s="28">
        <f>'Buget 2024'!D481</f>
        <v>0</v>
      </c>
      <c r="G481" s="122">
        <f t="shared" si="69"/>
        <v>0</v>
      </c>
      <c r="H481" s="123" t="e">
        <f t="shared" si="70"/>
        <v>#DIV/0!</v>
      </c>
    </row>
    <row r="482" spans="1:55" s="125" customFormat="1" x14ac:dyDescent="0.2">
      <c r="A482" s="60"/>
      <c r="B482" s="60"/>
      <c r="C482" s="97" t="s">
        <v>141</v>
      </c>
      <c r="D482" s="28"/>
      <c r="E482" s="28"/>
      <c r="G482" s="122">
        <f t="shared" si="69"/>
        <v>0</v>
      </c>
      <c r="H482" s="123" t="e">
        <f t="shared" si="70"/>
        <v>#DIV/0!</v>
      </c>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
      <c r="AK482" s="2"/>
      <c r="AL482" s="2"/>
      <c r="AM482" s="2"/>
      <c r="AN482" s="2"/>
      <c r="AO482" s="2"/>
      <c r="AP482" s="2"/>
      <c r="AQ482" s="2"/>
      <c r="AR482" s="2"/>
      <c r="AS482" s="2"/>
      <c r="AT482" s="2"/>
      <c r="AU482" s="2"/>
      <c r="AV482" s="2"/>
      <c r="AW482" s="2"/>
      <c r="AX482" s="2"/>
      <c r="AY482" s="2"/>
      <c r="AZ482" s="2"/>
      <c r="BA482" s="2"/>
      <c r="BB482" s="2"/>
      <c r="BC482" s="2"/>
    </row>
    <row r="483" spans="1:55" x14ac:dyDescent="0.2">
      <c r="A483" s="98"/>
      <c r="B483" s="98" t="s">
        <v>189</v>
      </c>
      <c r="C483" s="99" t="s">
        <v>190</v>
      </c>
      <c r="D483" s="100">
        <f>D486+D588</f>
        <v>221693</v>
      </c>
      <c r="E483" s="100">
        <f>E486+E588</f>
        <v>1631841</v>
      </c>
      <c r="G483" s="122">
        <f t="shared" si="69"/>
        <v>1410148</v>
      </c>
      <c r="H483" s="123">
        <f t="shared" si="70"/>
        <v>636.08142792059289</v>
      </c>
    </row>
    <row r="484" spans="1:55" x14ac:dyDescent="0.2">
      <c r="A484" s="98"/>
      <c r="B484" s="98" t="s">
        <v>191</v>
      </c>
      <c r="C484" s="99" t="s">
        <v>192</v>
      </c>
      <c r="D484" s="100">
        <f>D487+D589</f>
        <v>577270</v>
      </c>
      <c r="E484" s="100">
        <f>E487+E589</f>
        <v>1726811</v>
      </c>
      <c r="G484" s="122">
        <f t="shared" si="69"/>
        <v>1149541</v>
      </c>
      <c r="H484" s="123">
        <f t="shared" si="70"/>
        <v>199.1340274048539</v>
      </c>
    </row>
    <row r="485" spans="1:55" x14ac:dyDescent="0.2">
      <c r="A485" s="98" t="s">
        <v>29</v>
      </c>
      <c r="B485" s="98" t="s">
        <v>39</v>
      </c>
      <c r="C485" s="99" t="s">
        <v>197</v>
      </c>
      <c r="D485" s="100"/>
      <c r="E485" s="100"/>
      <c r="G485" s="122">
        <f t="shared" si="69"/>
        <v>0</v>
      </c>
      <c r="H485" s="123" t="e">
        <f t="shared" si="70"/>
        <v>#DIV/0!</v>
      </c>
    </row>
    <row r="486" spans="1:55" x14ac:dyDescent="0.2">
      <c r="A486" s="98"/>
      <c r="B486" s="98" t="s">
        <v>189</v>
      </c>
      <c r="C486" s="99" t="s">
        <v>190</v>
      </c>
      <c r="D486" s="100">
        <f>D489+D570</f>
        <v>220723</v>
      </c>
      <c r="E486" s="100">
        <f>E489+E570</f>
        <v>1492198</v>
      </c>
      <c r="G486" s="122">
        <f t="shared" si="69"/>
        <v>1271475</v>
      </c>
      <c r="H486" s="123">
        <f t="shared" si="70"/>
        <v>576.05007180946245</v>
      </c>
    </row>
    <row r="487" spans="1:55" x14ac:dyDescent="0.2">
      <c r="A487" s="98"/>
      <c r="B487" s="98" t="s">
        <v>191</v>
      </c>
      <c r="C487" s="99" t="s">
        <v>192</v>
      </c>
      <c r="D487" s="100">
        <f>D490+D571</f>
        <v>576787</v>
      </c>
      <c r="E487" s="100">
        <f>E490+E571</f>
        <v>1587168</v>
      </c>
      <c r="G487" s="122">
        <f t="shared" si="69"/>
        <v>1010381</v>
      </c>
      <c r="H487" s="123">
        <f t="shared" si="70"/>
        <v>175.17402437988375</v>
      </c>
    </row>
    <row r="488" spans="1:55" x14ac:dyDescent="0.2">
      <c r="A488" s="98" t="s">
        <v>29</v>
      </c>
      <c r="B488" s="98" t="s">
        <v>31</v>
      </c>
      <c r="C488" s="99" t="s">
        <v>32</v>
      </c>
      <c r="D488" s="100"/>
      <c r="E488" s="100"/>
      <c r="G488" s="122">
        <f t="shared" si="69"/>
        <v>0</v>
      </c>
      <c r="H488" s="123" t="e">
        <f t="shared" si="70"/>
        <v>#DIV/0!</v>
      </c>
    </row>
    <row r="489" spans="1:55" x14ac:dyDescent="0.2">
      <c r="A489" s="98"/>
      <c r="B489" s="98" t="s">
        <v>189</v>
      </c>
      <c r="C489" s="99" t="s">
        <v>190</v>
      </c>
      <c r="D489" s="100">
        <f>D492+D528+D552+D564+D501</f>
        <v>197233</v>
      </c>
      <c r="E489" s="100">
        <f>E492+E528+E552+E564+E501</f>
        <v>1118497</v>
      </c>
      <c r="G489" s="122">
        <f t="shared" si="69"/>
        <v>921264</v>
      </c>
      <c r="H489" s="123">
        <f t="shared" si="70"/>
        <v>467.09424893400194</v>
      </c>
    </row>
    <row r="490" spans="1:55" x14ac:dyDescent="0.2">
      <c r="A490" s="98"/>
      <c r="B490" s="98" t="s">
        <v>191</v>
      </c>
      <c r="C490" s="99" t="s">
        <v>192</v>
      </c>
      <c r="D490" s="100">
        <f>D493+D529+D553+D565+D502</f>
        <v>518188</v>
      </c>
      <c r="E490" s="100">
        <f>E493+E529+E553+E565+E502</f>
        <v>1487898</v>
      </c>
      <c r="G490" s="122">
        <f t="shared" si="69"/>
        <v>969710</v>
      </c>
      <c r="H490" s="123">
        <f t="shared" si="70"/>
        <v>187.13478505870455</v>
      </c>
    </row>
    <row r="491" spans="1:55" x14ac:dyDescent="0.2">
      <c r="A491" s="98" t="s">
        <v>29</v>
      </c>
      <c r="B491" s="98" t="s">
        <v>142</v>
      </c>
      <c r="C491" s="99" t="s">
        <v>193</v>
      </c>
      <c r="D491" s="100"/>
      <c r="E491" s="100"/>
      <c r="G491" s="122">
        <f t="shared" si="69"/>
        <v>0</v>
      </c>
      <c r="H491" s="123" t="e">
        <f t="shared" si="70"/>
        <v>#DIV/0!</v>
      </c>
    </row>
    <row r="492" spans="1:55" x14ac:dyDescent="0.2">
      <c r="A492" s="98"/>
      <c r="B492" s="98" t="s">
        <v>189</v>
      </c>
      <c r="C492" s="99" t="s">
        <v>190</v>
      </c>
      <c r="D492" s="100">
        <f>D495</f>
        <v>858</v>
      </c>
      <c r="E492" s="100">
        <f t="shared" ref="E492:E493" si="71">E495</f>
        <v>1350</v>
      </c>
      <c r="G492" s="122">
        <f t="shared" si="69"/>
        <v>492</v>
      </c>
      <c r="H492" s="123">
        <f t="shared" si="70"/>
        <v>57.342657342657347</v>
      </c>
    </row>
    <row r="493" spans="1:55" x14ac:dyDescent="0.2">
      <c r="A493" s="98"/>
      <c r="B493" s="98" t="s">
        <v>191</v>
      </c>
      <c r="C493" s="99" t="s">
        <v>192</v>
      </c>
      <c r="D493" s="100">
        <f t="shared" ref="D493" si="72">D496</f>
        <v>808</v>
      </c>
      <c r="E493" s="100">
        <f t="shared" si="71"/>
        <v>1350</v>
      </c>
      <c r="G493" s="122">
        <f t="shared" si="69"/>
        <v>542</v>
      </c>
      <c r="H493" s="123">
        <f t="shared" si="70"/>
        <v>67.079207920792086</v>
      </c>
    </row>
    <row r="494" spans="1:55" x14ac:dyDescent="0.2">
      <c r="A494" s="98" t="s">
        <v>29</v>
      </c>
      <c r="B494" s="98" t="s">
        <v>104</v>
      </c>
      <c r="C494" s="99" t="s">
        <v>105</v>
      </c>
      <c r="D494" s="100"/>
      <c r="E494" s="100"/>
      <c r="G494" s="122">
        <f t="shared" si="69"/>
        <v>0</v>
      </c>
      <c r="H494" s="123" t="e">
        <f t="shared" si="70"/>
        <v>#DIV/0!</v>
      </c>
    </row>
    <row r="495" spans="1:55" x14ac:dyDescent="0.2">
      <c r="A495" s="98"/>
      <c r="B495" s="98" t="s">
        <v>189</v>
      </c>
      <c r="C495" s="99" t="s">
        <v>190</v>
      </c>
      <c r="D495" s="100">
        <f>D498</f>
        <v>858</v>
      </c>
      <c r="E495" s="100">
        <f t="shared" ref="E495:E496" si="73">E498</f>
        <v>1350</v>
      </c>
      <c r="G495" s="122">
        <f t="shared" si="69"/>
        <v>492</v>
      </c>
      <c r="H495" s="123">
        <f t="shared" si="70"/>
        <v>57.342657342657347</v>
      </c>
    </row>
    <row r="496" spans="1:55" x14ac:dyDescent="0.2">
      <c r="A496" s="98"/>
      <c r="B496" s="98" t="s">
        <v>191</v>
      </c>
      <c r="C496" s="99" t="s">
        <v>192</v>
      </c>
      <c r="D496" s="100">
        <f t="shared" ref="D496" si="74">D499</f>
        <v>808</v>
      </c>
      <c r="E496" s="100">
        <f t="shared" si="73"/>
        <v>1350</v>
      </c>
      <c r="G496" s="122">
        <f t="shared" si="69"/>
        <v>542</v>
      </c>
      <c r="H496" s="123">
        <f t="shared" si="70"/>
        <v>67.079207920792086</v>
      </c>
    </row>
    <row r="497" spans="1:8" x14ac:dyDescent="0.2">
      <c r="A497" s="32" t="s">
        <v>29</v>
      </c>
      <c r="B497" s="32" t="s">
        <v>112</v>
      </c>
      <c r="C497" s="33" t="s">
        <v>181</v>
      </c>
      <c r="D497" s="35"/>
      <c r="E497" s="35"/>
      <c r="G497" s="122">
        <f t="shared" si="69"/>
        <v>0</v>
      </c>
      <c r="H497" s="123" t="e">
        <f t="shared" si="70"/>
        <v>#DIV/0!</v>
      </c>
    </row>
    <row r="498" spans="1:8" x14ac:dyDescent="0.2">
      <c r="A498" s="32"/>
      <c r="B498" s="60" t="s">
        <v>189</v>
      </c>
      <c r="C498" s="97" t="s">
        <v>190</v>
      </c>
      <c r="D498" s="27">
        <v>858</v>
      </c>
      <c r="E498" s="28">
        <f>'Buget 2024'!D498</f>
        <v>1350</v>
      </c>
      <c r="G498" s="122">
        <f t="shared" si="69"/>
        <v>492</v>
      </c>
      <c r="H498" s="123">
        <f t="shared" si="70"/>
        <v>57.342657342657347</v>
      </c>
    </row>
    <row r="499" spans="1:8" x14ac:dyDescent="0.2">
      <c r="A499" s="32"/>
      <c r="B499" s="60" t="s">
        <v>191</v>
      </c>
      <c r="C499" s="97" t="s">
        <v>192</v>
      </c>
      <c r="D499" s="27">
        <v>808</v>
      </c>
      <c r="E499" s="28">
        <f>'Buget 2024'!D499</f>
        <v>1350</v>
      </c>
      <c r="G499" s="122">
        <f t="shared" si="69"/>
        <v>542</v>
      </c>
      <c r="H499" s="123">
        <f t="shared" si="70"/>
        <v>67.079207920792086</v>
      </c>
    </row>
    <row r="500" spans="1:8" ht="25.5" x14ac:dyDescent="0.2">
      <c r="A500" s="98" t="s">
        <v>29</v>
      </c>
      <c r="B500" s="98">
        <v>56</v>
      </c>
      <c r="C500" s="99" t="s">
        <v>374</v>
      </c>
      <c r="D500" s="100"/>
      <c r="E500" s="100"/>
      <c r="G500" s="122">
        <f t="shared" si="69"/>
        <v>0</v>
      </c>
      <c r="H500" s="123" t="e">
        <f t="shared" si="70"/>
        <v>#DIV/0!</v>
      </c>
    </row>
    <row r="501" spans="1:8" x14ac:dyDescent="0.2">
      <c r="A501" s="98"/>
      <c r="B501" s="98" t="s">
        <v>189</v>
      </c>
      <c r="C501" s="99" t="s">
        <v>190</v>
      </c>
      <c r="D501" s="100">
        <f>D504+D516</f>
        <v>10856</v>
      </c>
      <c r="E501" s="100">
        <f>E504+E516</f>
        <v>248207</v>
      </c>
      <c r="G501" s="122">
        <f t="shared" si="69"/>
        <v>237351</v>
      </c>
      <c r="H501" s="123">
        <f t="shared" si="70"/>
        <v>2186.3577745025796</v>
      </c>
    </row>
    <row r="502" spans="1:8" x14ac:dyDescent="0.2">
      <c r="A502" s="98"/>
      <c r="B502" s="98" t="s">
        <v>191</v>
      </c>
      <c r="C502" s="99" t="s">
        <v>192</v>
      </c>
      <c r="D502" s="100">
        <f>D505+D517</f>
        <v>358529</v>
      </c>
      <c r="E502" s="100">
        <f>E505+E517</f>
        <v>724583</v>
      </c>
      <c r="G502" s="122">
        <f t="shared" si="69"/>
        <v>366054</v>
      </c>
      <c r="H502" s="123">
        <f t="shared" si="70"/>
        <v>102.09885392813413</v>
      </c>
    </row>
    <row r="503" spans="1:8" ht="25.5" x14ac:dyDescent="0.2">
      <c r="A503" s="98" t="s">
        <v>29</v>
      </c>
      <c r="B503" s="98" t="s">
        <v>332</v>
      </c>
      <c r="C503" s="99" t="s">
        <v>333</v>
      </c>
      <c r="D503" s="100"/>
      <c r="E503" s="100"/>
      <c r="G503" s="122">
        <f t="shared" si="69"/>
        <v>0</v>
      </c>
      <c r="H503" s="123" t="e">
        <f t="shared" si="70"/>
        <v>#DIV/0!</v>
      </c>
    </row>
    <row r="504" spans="1:8" x14ac:dyDescent="0.2">
      <c r="A504" s="98"/>
      <c r="B504" s="98" t="s">
        <v>189</v>
      </c>
      <c r="C504" s="99" t="s">
        <v>190</v>
      </c>
      <c r="D504" s="100">
        <f>D507+D510+D513</f>
        <v>10856</v>
      </c>
      <c r="E504" s="100">
        <f>E507+E510+E513</f>
        <v>248207</v>
      </c>
      <c r="G504" s="122">
        <f t="shared" si="69"/>
        <v>237351</v>
      </c>
      <c r="H504" s="123">
        <f t="shared" si="70"/>
        <v>2186.3577745025796</v>
      </c>
    </row>
    <row r="505" spans="1:8" x14ac:dyDescent="0.2">
      <c r="A505" s="98"/>
      <c r="B505" s="98" t="s">
        <v>191</v>
      </c>
      <c r="C505" s="99" t="s">
        <v>192</v>
      </c>
      <c r="D505" s="100">
        <f>D508+D511+D514</f>
        <v>358529</v>
      </c>
      <c r="E505" s="100">
        <f>E508+E511+E514</f>
        <v>724583</v>
      </c>
      <c r="G505" s="122">
        <f t="shared" si="69"/>
        <v>366054</v>
      </c>
      <c r="H505" s="123">
        <f t="shared" si="70"/>
        <v>102.09885392813413</v>
      </c>
    </row>
    <row r="506" spans="1:8" x14ac:dyDescent="0.2">
      <c r="A506" s="60" t="s">
        <v>29</v>
      </c>
      <c r="B506" s="60" t="s">
        <v>334</v>
      </c>
      <c r="C506" s="97" t="s">
        <v>240</v>
      </c>
      <c r="D506" s="34"/>
      <c r="E506" s="34"/>
      <c r="G506" s="122">
        <f t="shared" si="69"/>
        <v>0</v>
      </c>
      <c r="H506" s="123" t="e">
        <f t="shared" si="70"/>
        <v>#DIV/0!</v>
      </c>
    </row>
    <row r="507" spans="1:8" x14ac:dyDescent="0.2">
      <c r="A507" s="60"/>
      <c r="B507" s="60" t="s">
        <v>189</v>
      </c>
      <c r="C507" s="97" t="s">
        <v>190</v>
      </c>
      <c r="D507" s="34">
        <v>1368</v>
      </c>
      <c r="E507" s="28">
        <f>'Buget 2024'!D507</f>
        <v>29351</v>
      </c>
      <c r="G507" s="122">
        <f t="shared" si="69"/>
        <v>27983</v>
      </c>
      <c r="H507" s="123">
        <f t="shared" si="70"/>
        <v>2045.5409356725145</v>
      </c>
    </row>
    <row r="508" spans="1:8" x14ac:dyDescent="0.2">
      <c r="A508" s="60"/>
      <c r="B508" s="60" t="s">
        <v>191</v>
      </c>
      <c r="C508" s="97" t="s">
        <v>192</v>
      </c>
      <c r="D508" s="34">
        <v>16219</v>
      </c>
      <c r="E508" s="28">
        <f>'Buget 2024'!D508</f>
        <v>75510</v>
      </c>
      <c r="G508" s="122">
        <f t="shared" si="69"/>
        <v>59291</v>
      </c>
      <c r="H508" s="123">
        <f t="shared" si="70"/>
        <v>365.5650779949442</v>
      </c>
    </row>
    <row r="509" spans="1:8" x14ac:dyDescent="0.2">
      <c r="A509" s="32" t="s">
        <v>29</v>
      </c>
      <c r="B509" s="32" t="s">
        <v>335</v>
      </c>
      <c r="C509" s="33" t="s">
        <v>243</v>
      </c>
      <c r="D509" s="34"/>
      <c r="E509" s="34"/>
      <c r="G509" s="122">
        <f t="shared" si="69"/>
        <v>0</v>
      </c>
      <c r="H509" s="123" t="e">
        <f t="shared" si="70"/>
        <v>#DIV/0!</v>
      </c>
    </row>
    <row r="510" spans="1:8" x14ac:dyDescent="0.2">
      <c r="A510" s="32"/>
      <c r="B510" s="60" t="s">
        <v>189</v>
      </c>
      <c r="C510" s="97" t="s">
        <v>190</v>
      </c>
      <c r="D510" s="34">
        <v>7755</v>
      </c>
      <c r="E510" s="28">
        <f>'Buget 2024'!D510</f>
        <v>194153</v>
      </c>
      <c r="G510" s="122">
        <f t="shared" si="69"/>
        <v>186398</v>
      </c>
      <c r="H510" s="123">
        <f t="shared" si="70"/>
        <v>2403.5847840103161</v>
      </c>
    </row>
    <row r="511" spans="1:8" x14ac:dyDescent="0.2">
      <c r="A511" s="32"/>
      <c r="B511" s="60" t="s">
        <v>191</v>
      </c>
      <c r="C511" s="97" t="s">
        <v>192</v>
      </c>
      <c r="D511" s="34">
        <v>327052</v>
      </c>
      <c r="E511" s="28">
        <f>'Buget 2024'!D511</f>
        <v>565411</v>
      </c>
      <c r="G511" s="122">
        <f t="shared" si="69"/>
        <v>238359</v>
      </c>
      <c r="H511" s="123">
        <f t="shared" si="70"/>
        <v>72.881070900040356</v>
      </c>
    </row>
    <row r="512" spans="1:8" x14ac:dyDescent="0.2">
      <c r="A512" s="32" t="s">
        <v>29</v>
      </c>
      <c r="B512" s="32" t="s">
        <v>336</v>
      </c>
      <c r="C512" s="33" t="s">
        <v>114</v>
      </c>
      <c r="D512" s="34"/>
      <c r="E512" s="34"/>
      <c r="G512" s="122">
        <f t="shared" si="69"/>
        <v>0</v>
      </c>
      <c r="H512" s="123" t="e">
        <f t="shared" si="70"/>
        <v>#DIV/0!</v>
      </c>
    </row>
    <row r="513" spans="1:8" x14ac:dyDescent="0.2">
      <c r="A513" s="32"/>
      <c r="B513" s="60" t="s">
        <v>189</v>
      </c>
      <c r="C513" s="97" t="s">
        <v>190</v>
      </c>
      <c r="D513" s="34">
        <v>1733</v>
      </c>
      <c r="E513" s="28">
        <f>'Buget 2024'!D513</f>
        <v>24703</v>
      </c>
      <c r="G513" s="122">
        <f t="shared" si="69"/>
        <v>22970</v>
      </c>
      <c r="H513" s="123">
        <f t="shared" si="70"/>
        <v>1325.4472013848817</v>
      </c>
    </row>
    <row r="514" spans="1:8" x14ac:dyDescent="0.2">
      <c r="A514" s="32"/>
      <c r="B514" s="60" t="s">
        <v>191</v>
      </c>
      <c r="C514" s="97" t="s">
        <v>192</v>
      </c>
      <c r="D514" s="34">
        <v>15258</v>
      </c>
      <c r="E514" s="28">
        <f>'Buget 2024'!D514</f>
        <v>83662</v>
      </c>
      <c r="G514" s="122">
        <f t="shared" si="69"/>
        <v>68404</v>
      </c>
      <c r="H514" s="123">
        <f t="shared" si="70"/>
        <v>448.31563769825664</v>
      </c>
    </row>
    <row r="515" spans="1:8" ht="25.5" hidden="1" x14ac:dyDescent="0.2">
      <c r="A515" s="98" t="s">
        <v>29</v>
      </c>
      <c r="B515" s="98" t="s">
        <v>375</v>
      </c>
      <c r="C515" s="99" t="s">
        <v>376</v>
      </c>
      <c r="D515" s="100"/>
      <c r="E515" s="100"/>
      <c r="G515" s="122">
        <f t="shared" si="69"/>
        <v>0</v>
      </c>
      <c r="H515" s="123" t="e">
        <f t="shared" si="70"/>
        <v>#DIV/0!</v>
      </c>
    </row>
    <row r="516" spans="1:8" hidden="1" x14ac:dyDescent="0.2">
      <c r="A516" s="98"/>
      <c r="B516" s="98" t="s">
        <v>189</v>
      </c>
      <c r="C516" s="99" t="s">
        <v>190</v>
      </c>
      <c r="D516" s="100">
        <f>D519+D522+D525</f>
        <v>0</v>
      </c>
      <c r="E516" s="100">
        <f>E519+E522+E525</f>
        <v>0</v>
      </c>
      <c r="G516" s="122">
        <f t="shared" si="69"/>
        <v>0</v>
      </c>
      <c r="H516" s="123" t="e">
        <f t="shared" si="70"/>
        <v>#DIV/0!</v>
      </c>
    </row>
    <row r="517" spans="1:8" hidden="1" x14ac:dyDescent="0.2">
      <c r="A517" s="98"/>
      <c r="B517" s="98" t="s">
        <v>191</v>
      </c>
      <c r="C517" s="99" t="s">
        <v>192</v>
      </c>
      <c r="D517" s="100">
        <f>D520+D523+D526</f>
        <v>0</v>
      </c>
      <c r="E517" s="100">
        <f>E520+E523+E526</f>
        <v>0</v>
      </c>
      <c r="G517" s="122">
        <f t="shared" si="69"/>
        <v>0</v>
      </c>
      <c r="H517" s="123" t="e">
        <f t="shared" si="70"/>
        <v>#DIV/0!</v>
      </c>
    </row>
    <row r="518" spans="1:8" hidden="1" x14ac:dyDescent="0.2">
      <c r="A518" s="60" t="s">
        <v>29</v>
      </c>
      <c r="B518" s="60" t="s">
        <v>377</v>
      </c>
      <c r="C518" s="97" t="s">
        <v>240</v>
      </c>
      <c r="D518" s="27"/>
      <c r="E518" s="28"/>
      <c r="G518" s="122">
        <f t="shared" si="69"/>
        <v>0</v>
      </c>
      <c r="H518" s="123" t="e">
        <f t="shared" si="70"/>
        <v>#DIV/0!</v>
      </c>
    </row>
    <row r="519" spans="1:8" hidden="1" x14ac:dyDescent="0.2">
      <c r="A519" s="60"/>
      <c r="B519" s="60" t="s">
        <v>189</v>
      </c>
      <c r="C519" s="97" t="s">
        <v>190</v>
      </c>
      <c r="D519" s="27"/>
      <c r="E519" s="28">
        <f>'Buget 2024'!D519</f>
        <v>0</v>
      </c>
      <c r="G519" s="122">
        <f t="shared" si="69"/>
        <v>0</v>
      </c>
      <c r="H519" s="123" t="e">
        <f t="shared" si="70"/>
        <v>#DIV/0!</v>
      </c>
    </row>
    <row r="520" spans="1:8" hidden="1" x14ac:dyDescent="0.2">
      <c r="A520" s="60"/>
      <c r="B520" s="60" t="s">
        <v>191</v>
      </c>
      <c r="C520" s="97" t="s">
        <v>192</v>
      </c>
      <c r="D520" s="27"/>
      <c r="E520" s="28">
        <f>'Buget 2024'!D520</f>
        <v>0</v>
      </c>
      <c r="G520" s="122">
        <f t="shared" si="69"/>
        <v>0</v>
      </c>
      <c r="H520" s="123" t="e">
        <f t="shared" si="70"/>
        <v>#DIV/0!</v>
      </c>
    </row>
    <row r="521" spans="1:8" hidden="1" x14ac:dyDescent="0.2">
      <c r="A521" s="32" t="s">
        <v>29</v>
      </c>
      <c r="B521" s="32" t="s">
        <v>378</v>
      </c>
      <c r="C521" s="33" t="s">
        <v>243</v>
      </c>
      <c r="D521" s="27"/>
      <c r="E521" s="28"/>
      <c r="G521" s="122">
        <f t="shared" si="69"/>
        <v>0</v>
      </c>
      <c r="H521" s="123" t="e">
        <f t="shared" si="70"/>
        <v>#DIV/0!</v>
      </c>
    </row>
    <row r="522" spans="1:8" hidden="1" x14ac:dyDescent="0.2">
      <c r="A522" s="32"/>
      <c r="B522" s="60" t="s">
        <v>189</v>
      </c>
      <c r="C522" s="97" t="s">
        <v>190</v>
      </c>
      <c r="D522" s="27"/>
      <c r="E522" s="28">
        <f>'Buget 2024'!D522</f>
        <v>0</v>
      </c>
      <c r="G522" s="122">
        <f t="shared" si="69"/>
        <v>0</v>
      </c>
      <c r="H522" s="123" t="e">
        <f t="shared" si="70"/>
        <v>#DIV/0!</v>
      </c>
    </row>
    <row r="523" spans="1:8" hidden="1" x14ac:dyDescent="0.2">
      <c r="A523" s="32"/>
      <c r="B523" s="60" t="s">
        <v>191</v>
      </c>
      <c r="C523" s="97" t="s">
        <v>192</v>
      </c>
      <c r="D523" s="27"/>
      <c r="E523" s="28">
        <f>'Buget 2024'!D523</f>
        <v>0</v>
      </c>
      <c r="G523" s="122">
        <f t="shared" si="69"/>
        <v>0</v>
      </c>
      <c r="H523" s="123" t="e">
        <f t="shared" si="70"/>
        <v>#DIV/0!</v>
      </c>
    </row>
    <row r="524" spans="1:8" hidden="1" x14ac:dyDescent="0.2">
      <c r="A524" s="32" t="s">
        <v>29</v>
      </c>
      <c r="B524" s="32" t="s">
        <v>379</v>
      </c>
      <c r="C524" s="33" t="s">
        <v>114</v>
      </c>
      <c r="D524" s="27"/>
      <c r="E524" s="28"/>
      <c r="G524" s="122">
        <f t="shared" si="69"/>
        <v>0</v>
      </c>
      <c r="H524" s="123" t="e">
        <f t="shared" si="70"/>
        <v>#DIV/0!</v>
      </c>
    </row>
    <row r="525" spans="1:8" hidden="1" x14ac:dyDescent="0.2">
      <c r="A525" s="32"/>
      <c r="B525" s="60" t="s">
        <v>189</v>
      </c>
      <c r="C525" s="97" t="s">
        <v>190</v>
      </c>
      <c r="D525" s="27"/>
      <c r="E525" s="28">
        <f>'Buget 2024'!D525</f>
        <v>0</v>
      </c>
      <c r="G525" s="122">
        <f t="shared" si="69"/>
        <v>0</v>
      </c>
      <c r="H525" s="123" t="e">
        <f t="shared" si="70"/>
        <v>#DIV/0!</v>
      </c>
    </row>
    <row r="526" spans="1:8" hidden="1" x14ac:dyDescent="0.2">
      <c r="A526" s="32"/>
      <c r="B526" s="60" t="s">
        <v>191</v>
      </c>
      <c r="C526" s="97" t="s">
        <v>192</v>
      </c>
      <c r="D526" s="27"/>
      <c r="E526" s="28">
        <f>'Buget 2024'!D526</f>
        <v>0</v>
      </c>
      <c r="G526" s="122">
        <f t="shared" si="69"/>
        <v>0</v>
      </c>
      <c r="H526" s="123" t="e">
        <f t="shared" si="70"/>
        <v>#DIV/0!</v>
      </c>
    </row>
    <row r="527" spans="1:8" ht="38.25" x14ac:dyDescent="0.2">
      <c r="A527" s="98" t="s">
        <v>29</v>
      </c>
      <c r="B527" s="98" t="s">
        <v>34</v>
      </c>
      <c r="C527" s="99" t="s">
        <v>247</v>
      </c>
      <c r="D527" s="100"/>
      <c r="E527" s="100"/>
      <c r="G527" s="122">
        <f t="shared" si="69"/>
        <v>0</v>
      </c>
      <c r="H527" s="123" t="e">
        <f t="shared" si="70"/>
        <v>#DIV/0!</v>
      </c>
    </row>
    <row r="528" spans="1:8" x14ac:dyDescent="0.2">
      <c r="A528" s="98"/>
      <c r="B528" s="98" t="s">
        <v>189</v>
      </c>
      <c r="C528" s="99" t="s">
        <v>190</v>
      </c>
      <c r="D528" s="100">
        <f>D531+D540</f>
        <v>91326</v>
      </c>
      <c r="E528" s="100">
        <f>E531+E540</f>
        <v>146190</v>
      </c>
      <c r="G528" s="122">
        <f t="shared" si="69"/>
        <v>54864</v>
      </c>
      <c r="H528" s="123">
        <f t="shared" si="70"/>
        <v>60.074896524538467</v>
      </c>
    </row>
    <row r="529" spans="1:8" x14ac:dyDescent="0.2">
      <c r="A529" s="98"/>
      <c r="B529" s="98" t="s">
        <v>191</v>
      </c>
      <c r="C529" s="99" t="s">
        <v>192</v>
      </c>
      <c r="D529" s="100">
        <f>D532+D541</f>
        <v>64820</v>
      </c>
      <c r="E529" s="100">
        <f>E532+E541</f>
        <v>203107</v>
      </c>
      <c r="G529" s="122">
        <f t="shared" si="69"/>
        <v>138287</v>
      </c>
      <c r="H529" s="123">
        <f t="shared" si="70"/>
        <v>213.3400185128047</v>
      </c>
    </row>
    <row r="530" spans="1:8" hidden="1" x14ac:dyDescent="0.2">
      <c r="A530" s="98" t="s">
        <v>29</v>
      </c>
      <c r="B530" s="98" t="s">
        <v>115</v>
      </c>
      <c r="C530" s="99" t="s">
        <v>242</v>
      </c>
      <c r="D530" s="100"/>
      <c r="E530" s="100"/>
      <c r="G530" s="122">
        <f t="shared" si="69"/>
        <v>0</v>
      </c>
      <c r="H530" s="123" t="e">
        <f t="shared" si="70"/>
        <v>#DIV/0!</v>
      </c>
    </row>
    <row r="531" spans="1:8" hidden="1" x14ac:dyDescent="0.2">
      <c r="A531" s="98"/>
      <c r="B531" s="98" t="s">
        <v>189</v>
      </c>
      <c r="C531" s="99" t="s">
        <v>190</v>
      </c>
      <c r="D531" s="100">
        <f>D534+D537</f>
        <v>0</v>
      </c>
      <c r="E531" s="100">
        <f>E534+E537</f>
        <v>0</v>
      </c>
      <c r="G531" s="122">
        <f t="shared" si="69"/>
        <v>0</v>
      </c>
      <c r="H531" s="123" t="e">
        <f t="shared" si="70"/>
        <v>#DIV/0!</v>
      </c>
    </row>
    <row r="532" spans="1:8" hidden="1" x14ac:dyDescent="0.2">
      <c r="A532" s="98"/>
      <c r="B532" s="98" t="s">
        <v>191</v>
      </c>
      <c r="C532" s="99" t="s">
        <v>192</v>
      </c>
      <c r="D532" s="100">
        <f>D535+D538</f>
        <v>0</v>
      </c>
      <c r="E532" s="100">
        <f>E535+E538</f>
        <v>0</v>
      </c>
      <c r="G532" s="122">
        <f t="shared" si="69"/>
        <v>0</v>
      </c>
      <c r="H532" s="123" t="e">
        <f t="shared" si="70"/>
        <v>#DIV/0!</v>
      </c>
    </row>
    <row r="533" spans="1:8" hidden="1" x14ac:dyDescent="0.2">
      <c r="A533" s="84" t="s">
        <v>29</v>
      </c>
      <c r="B533" s="84" t="s">
        <v>116</v>
      </c>
      <c r="C533" s="33" t="s">
        <v>240</v>
      </c>
      <c r="D533" s="28"/>
      <c r="E533" s="28"/>
      <c r="G533" s="122">
        <f t="shared" si="69"/>
        <v>0</v>
      </c>
      <c r="H533" s="123" t="e">
        <f t="shared" si="70"/>
        <v>#DIV/0!</v>
      </c>
    </row>
    <row r="534" spans="1:8" hidden="1" x14ac:dyDescent="0.2">
      <c r="A534" s="84"/>
      <c r="B534" s="60" t="s">
        <v>189</v>
      </c>
      <c r="C534" s="97" t="s">
        <v>190</v>
      </c>
      <c r="D534" s="28"/>
      <c r="E534" s="28">
        <f>'Buget 2024'!D534</f>
        <v>0</v>
      </c>
      <c r="G534" s="122">
        <f t="shared" si="69"/>
        <v>0</v>
      </c>
      <c r="H534" s="123" t="e">
        <f t="shared" si="70"/>
        <v>#DIV/0!</v>
      </c>
    </row>
    <row r="535" spans="1:8" hidden="1" x14ac:dyDescent="0.2">
      <c r="A535" s="84"/>
      <c r="B535" s="60" t="s">
        <v>191</v>
      </c>
      <c r="C535" s="97" t="s">
        <v>192</v>
      </c>
      <c r="D535" s="28"/>
      <c r="E535" s="28">
        <f>'Buget 2024'!D535</f>
        <v>0</v>
      </c>
      <c r="G535" s="122">
        <f t="shared" si="69"/>
        <v>0</v>
      </c>
      <c r="H535" s="123" t="e">
        <f t="shared" si="70"/>
        <v>#DIV/0!</v>
      </c>
    </row>
    <row r="536" spans="1:8" hidden="1" x14ac:dyDescent="0.2">
      <c r="A536" s="58" t="s">
        <v>29</v>
      </c>
      <c r="B536" s="58" t="s">
        <v>117</v>
      </c>
      <c r="C536" s="89" t="s">
        <v>243</v>
      </c>
      <c r="D536" s="28"/>
      <c r="E536" s="28"/>
      <c r="G536" s="122">
        <f t="shared" si="69"/>
        <v>0</v>
      </c>
      <c r="H536" s="123" t="e">
        <f t="shared" si="70"/>
        <v>#DIV/0!</v>
      </c>
    </row>
    <row r="537" spans="1:8" hidden="1" x14ac:dyDescent="0.2">
      <c r="A537" s="58"/>
      <c r="B537" s="60" t="s">
        <v>189</v>
      </c>
      <c r="C537" s="97" t="s">
        <v>190</v>
      </c>
      <c r="D537" s="28"/>
      <c r="E537" s="28">
        <f>'Buget 2024'!D537</f>
        <v>0</v>
      </c>
      <c r="G537" s="122">
        <f t="shared" si="69"/>
        <v>0</v>
      </c>
      <c r="H537" s="123" t="e">
        <f t="shared" si="70"/>
        <v>#DIV/0!</v>
      </c>
    </row>
    <row r="538" spans="1:8" hidden="1" x14ac:dyDescent="0.2">
      <c r="A538" s="58"/>
      <c r="B538" s="60" t="s">
        <v>191</v>
      </c>
      <c r="C538" s="97" t="s">
        <v>192</v>
      </c>
      <c r="D538" s="28"/>
      <c r="E538" s="28">
        <f>'Buget 2024'!D538</f>
        <v>0</v>
      </c>
      <c r="G538" s="122">
        <f t="shared" si="69"/>
        <v>0</v>
      </c>
      <c r="H538" s="123" t="e">
        <f t="shared" si="70"/>
        <v>#DIV/0!</v>
      </c>
    </row>
    <row r="539" spans="1:8" x14ac:dyDescent="0.2">
      <c r="A539" s="98" t="s">
        <v>29</v>
      </c>
      <c r="B539" s="98" t="s">
        <v>143</v>
      </c>
      <c r="C539" s="99" t="s">
        <v>297</v>
      </c>
      <c r="D539" s="100"/>
      <c r="E539" s="100"/>
      <c r="G539" s="122">
        <f t="shared" si="69"/>
        <v>0</v>
      </c>
      <c r="H539" s="123" t="e">
        <f t="shared" si="70"/>
        <v>#DIV/0!</v>
      </c>
    </row>
    <row r="540" spans="1:8" x14ac:dyDescent="0.2">
      <c r="A540" s="98"/>
      <c r="B540" s="98" t="s">
        <v>189</v>
      </c>
      <c r="C540" s="99" t="s">
        <v>190</v>
      </c>
      <c r="D540" s="100">
        <f t="shared" ref="D540:E541" si="75">D543+D546+D549</f>
        <v>91326</v>
      </c>
      <c r="E540" s="100">
        <f t="shared" si="75"/>
        <v>146190</v>
      </c>
      <c r="G540" s="122">
        <f t="shared" ref="G540:G606" si="76">E540-D540</f>
        <v>54864</v>
      </c>
      <c r="H540" s="123">
        <f t="shared" ref="H540:H606" si="77">G540/D540*100</f>
        <v>60.074896524538467</v>
      </c>
    </row>
    <row r="541" spans="1:8" x14ac:dyDescent="0.2">
      <c r="A541" s="98"/>
      <c r="B541" s="98" t="s">
        <v>191</v>
      </c>
      <c r="C541" s="99" t="s">
        <v>192</v>
      </c>
      <c r="D541" s="100">
        <f t="shared" si="75"/>
        <v>64820</v>
      </c>
      <c r="E541" s="100">
        <f t="shared" si="75"/>
        <v>203107</v>
      </c>
      <c r="G541" s="122">
        <f t="shared" si="76"/>
        <v>138287</v>
      </c>
      <c r="H541" s="123">
        <f t="shared" si="77"/>
        <v>213.3400185128047</v>
      </c>
    </row>
    <row r="542" spans="1:8" hidden="1" x14ac:dyDescent="0.2">
      <c r="A542" s="84" t="s">
        <v>29</v>
      </c>
      <c r="B542" s="84" t="s">
        <v>144</v>
      </c>
      <c r="C542" s="33" t="s">
        <v>240</v>
      </c>
      <c r="D542" s="35"/>
      <c r="E542" s="35"/>
      <c r="G542" s="122">
        <f t="shared" si="76"/>
        <v>0</v>
      </c>
      <c r="H542" s="123" t="e">
        <f t="shared" si="77"/>
        <v>#DIV/0!</v>
      </c>
    </row>
    <row r="543" spans="1:8" hidden="1" x14ac:dyDescent="0.2">
      <c r="A543" s="84"/>
      <c r="B543" s="60" t="s">
        <v>189</v>
      </c>
      <c r="C543" s="97" t="s">
        <v>190</v>
      </c>
      <c r="D543" s="28"/>
      <c r="E543" s="28">
        <f>'Buget 2024'!D543</f>
        <v>0</v>
      </c>
      <c r="G543" s="122">
        <f t="shared" si="76"/>
        <v>0</v>
      </c>
      <c r="H543" s="123" t="e">
        <f t="shared" si="77"/>
        <v>#DIV/0!</v>
      </c>
    </row>
    <row r="544" spans="1:8" hidden="1" x14ac:dyDescent="0.2">
      <c r="A544" s="84"/>
      <c r="B544" s="60" t="s">
        <v>191</v>
      </c>
      <c r="C544" s="97" t="s">
        <v>192</v>
      </c>
      <c r="D544" s="28"/>
      <c r="E544" s="28">
        <f>'Buget 2024'!D544</f>
        <v>0</v>
      </c>
      <c r="G544" s="122">
        <f t="shared" si="76"/>
        <v>0</v>
      </c>
      <c r="H544" s="123" t="e">
        <f t="shared" si="77"/>
        <v>#DIV/0!</v>
      </c>
    </row>
    <row r="545" spans="1:8" hidden="1" x14ac:dyDescent="0.2">
      <c r="A545" s="58" t="s">
        <v>29</v>
      </c>
      <c r="B545" s="58" t="s">
        <v>145</v>
      </c>
      <c r="C545" s="89" t="s">
        <v>243</v>
      </c>
      <c r="D545" s="91"/>
      <c r="E545" s="91"/>
      <c r="G545" s="122">
        <f t="shared" si="76"/>
        <v>0</v>
      </c>
      <c r="H545" s="123" t="e">
        <f t="shared" si="77"/>
        <v>#DIV/0!</v>
      </c>
    </row>
    <row r="546" spans="1:8" hidden="1" x14ac:dyDescent="0.2">
      <c r="A546" s="58"/>
      <c r="B546" s="60" t="s">
        <v>189</v>
      </c>
      <c r="C546" s="97" t="s">
        <v>190</v>
      </c>
      <c r="D546" s="28"/>
      <c r="E546" s="28">
        <f>'Buget 2024'!D546</f>
        <v>0</v>
      </c>
      <c r="G546" s="122">
        <f t="shared" si="76"/>
        <v>0</v>
      </c>
      <c r="H546" s="123" t="e">
        <f t="shared" si="77"/>
        <v>#DIV/0!</v>
      </c>
    </row>
    <row r="547" spans="1:8" hidden="1" x14ac:dyDescent="0.2">
      <c r="A547" s="58"/>
      <c r="B547" s="60" t="s">
        <v>191</v>
      </c>
      <c r="C547" s="97" t="s">
        <v>192</v>
      </c>
      <c r="D547" s="28">
        <v>0</v>
      </c>
      <c r="E547" s="28">
        <f>'Buget 2024'!D547</f>
        <v>0</v>
      </c>
      <c r="G547" s="122">
        <f t="shared" si="76"/>
        <v>0</v>
      </c>
      <c r="H547" s="123" t="e">
        <f t="shared" si="77"/>
        <v>#DIV/0!</v>
      </c>
    </row>
    <row r="548" spans="1:8" x14ac:dyDescent="0.2">
      <c r="A548" s="58" t="s">
        <v>29</v>
      </c>
      <c r="B548" s="58" t="s">
        <v>251</v>
      </c>
      <c r="C548" s="69" t="s">
        <v>114</v>
      </c>
      <c r="D548" s="91"/>
      <c r="E548" s="91"/>
      <c r="G548" s="122">
        <f t="shared" si="76"/>
        <v>0</v>
      </c>
      <c r="H548" s="123" t="e">
        <f t="shared" si="77"/>
        <v>#DIV/0!</v>
      </c>
    </row>
    <row r="549" spans="1:8" x14ac:dyDescent="0.2">
      <c r="A549" s="58"/>
      <c r="B549" s="60" t="s">
        <v>189</v>
      </c>
      <c r="C549" s="59" t="s">
        <v>190</v>
      </c>
      <c r="D549" s="28">
        <v>91326</v>
      </c>
      <c r="E549" s="28">
        <f>'Buget 2024'!D549</f>
        <v>146190</v>
      </c>
      <c r="G549" s="122">
        <f t="shared" si="76"/>
        <v>54864</v>
      </c>
      <c r="H549" s="123">
        <f t="shared" si="77"/>
        <v>60.074896524538467</v>
      </c>
    </row>
    <row r="550" spans="1:8" x14ac:dyDescent="0.2">
      <c r="A550" s="58"/>
      <c r="B550" s="60" t="s">
        <v>191</v>
      </c>
      <c r="C550" s="61" t="s">
        <v>192</v>
      </c>
      <c r="D550" s="27">
        <v>64820</v>
      </c>
      <c r="E550" s="28">
        <f>'Buget 2024'!D550</f>
        <v>203107</v>
      </c>
      <c r="G550" s="122">
        <f t="shared" si="76"/>
        <v>138287</v>
      </c>
      <c r="H550" s="123">
        <f t="shared" si="77"/>
        <v>213.3400185128047</v>
      </c>
    </row>
    <row r="551" spans="1:8" ht="25.5" x14ac:dyDescent="0.2">
      <c r="A551" s="98" t="s">
        <v>29</v>
      </c>
      <c r="B551" s="98">
        <v>61</v>
      </c>
      <c r="C551" s="99" t="s">
        <v>315</v>
      </c>
      <c r="D551" s="100"/>
      <c r="E551" s="100"/>
      <c r="G551" s="122">
        <f t="shared" si="76"/>
        <v>0</v>
      </c>
      <c r="H551" s="123" t="e">
        <f t="shared" si="77"/>
        <v>#DIV/0!</v>
      </c>
    </row>
    <row r="552" spans="1:8" x14ac:dyDescent="0.2">
      <c r="A552" s="98"/>
      <c r="B552" s="98" t="s">
        <v>189</v>
      </c>
      <c r="C552" s="99" t="s">
        <v>190</v>
      </c>
      <c r="D552" s="100">
        <f>D555+D558+D561</f>
        <v>89129</v>
      </c>
      <c r="E552" s="100">
        <f t="shared" ref="E552:E553" si="78">E555+E558+E561</f>
        <v>628500</v>
      </c>
      <c r="G552" s="122">
        <f t="shared" si="76"/>
        <v>539371</v>
      </c>
      <c r="H552" s="123">
        <f t="shared" si="77"/>
        <v>605.15769278237167</v>
      </c>
    </row>
    <row r="553" spans="1:8" x14ac:dyDescent="0.2">
      <c r="A553" s="98"/>
      <c r="B553" s="98" t="s">
        <v>191</v>
      </c>
      <c r="C553" s="99" t="s">
        <v>192</v>
      </c>
      <c r="D553" s="100">
        <f>D556+D559+D562</f>
        <v>35322</v>
      </c>
      <c r="E553" s="100">
        <f t="shared" si="78"/>
        <v>473858</v>
      </c>
      <c r="G553" s="122">
        <f t="shared" si="76"/>
        <v>438536</v>
      </c>
      <c r="H553" s="123">
        <f t="shared" si="77"/>
        <v>1241.5378517637732</v>
      </c>
    </row>
    <row r="554" spans="1:8" x14ac:dyDescent="0.2">
      <c r="A554" s="60" t="s">
        <v>29</v>
      </c>
      <c r="B554" s="101" t="s">
        <v>316</v>
      </c>
      <c r="C554" s="102" t="s">
        <v>311</v>
      </c>
      <c r="D554" s="103"/>
      <c r="E554" s="103"/>
      <c r="G554" s="122">
        <f t="shared" si="76"/>
        <v>0</v>
      </c>
      <c r="H554" s="123" t="e">
        <f t="shared" si="77"/>
        <v>#DIV/0!</v>
      </c>
    </row>
    <row r="555" spans="1:8" x14ac:dyDescent="0.2">
      <c r="A555" s="60"/>
      <c r="B555" s="60" t="s">
        <v>189</v>
      </c>
      <c r="C555" s="97" t="s">
        <v>190</v>
      </c>
      <c r="D555" s="27">
        <f>125176-50857</f>
        <v>74319</v>
      </c>
      <c r="E555" s="28">
        <f>'Buget 2024'!D555</f>
        <v>527867</v>
      </c>
      <c r="G555" s="122">
        <f t="shared" si="76"/>
        <v>453548</v>
      </c>
      <c r="H555" s="123">
        <f t="shared" si="77"/>
        <v>610.27193584413135</v>
      </c>
    </row>
    <row r="556" spans="1:8" x14ac:dyDescent="0.2">
      <c r="A556" s="60"/>
      <c r="B556" s="60" t="s">
        <v>191</v>
      </c>
      <c r="C556" s="97" t="s">
        <v>192</v>
      </c>
      <c r="D556" s="27">
        <v>30353</v>
      </c>
      <c r="E556" s="28">
        <f>'Buget 2024'!D556</f>
        <v>399368</v>
      </c>
      <c r="G556" s="122">
        <f t="shared" si="76"/>
        <v>369015</v>
      </c>
      <c r="H556" s="123">
        <f t="shared" si="77"/>
        <v>1215.7447369288043</v>
      </c>
    </row>
    <row r="557" spans="1:8" hidden="1" x14ac:dyDescent="0.2">
      <c r="A557" s="60" t="s">
        <v>29</v>
      </c>
      <c r="B557" s="101" t="s">
        <v>317</v>
      </c>
      <c r="C557" s="102" t="s">
        <v>312</v>
      </c>
      <c r="D557" s="103"/>
      <c r="E557" s="103"/>
      <c r="G557" s="122">
        <f t="shared" si="76"/>
        <v>0</v>
      </c>
      <c r="H557" s="123" t="e">
        <f t="shared" si="77"/>
        <v>#DIV/0!</v>
      </c>
    </row>
    <row r="558" spans="1:8" hidden="1" x14ac:dyDescent="0.2">
      <c r="A558" s="60"/>
      <c r="B558" s="60" t="s">
        <v>189</v>
      </c>
      <c r="C558" s="97" t="s">
        <v>190</v>
      </c>
      <c r="D558" s="27"/>
      <c r="E558" s="28">
        <f>'Buget 2024'!D558</f>
        <v>0</v>
      </c>
      <c r="G558" s="122">
        <f t="shared" si="76"/>
        <v>0</v>
      </c>
      <c r="H558" s="123" t="e">
        <f t="shared" si="77"/>
        <v>#DIV/0!</v>
      </c>
    </row>
    <row r="559" spans="1:8" hidden="1" x14ac:dyDescent="0.2">
      <c r="A559" s="60"/>
      <c r="B559" s="60" t="s">
        <v>191</v>
      </c>
      <c r="C559" s="97" t="s">
        <v>192</v>
      </c>
      <c r="D559" s="27"/>
      <c r="E559" s="28">
        <f>'Buget 2024'!D559</f>
        <v>0</v>
      </c>
      <c r="G559" s="122">
        <f t="shared" si="76"/>
        <v>0</v>
      </c>
      <c r="H559" s="123" t="e">
        <f t="shared" si="77"/>
        <v>#DIV/0!</v>
      </c>
    </row>
    <row r="560" spans="1:8" x14ac:dyDescent="0.2">
      <c r="A560" s="60" t="s">
        <v>29</v>
      </c>
      <c r="B560" s="101" t="s">
        <v>318</v>
      </c>
      <c r="C560" s="102" t="s">
        <v>313</v>
      </c>
      <c r="D560" s="103"/>
      <c r="E560" s="103"/>
      <c r="G560" s="122">
        <f t="shared" si="76"/>
        <v>0</v>
      </c>
      <c r="H560" s="123" t="e">
        <f t="shared" si="77"/>
        <v>#DIV/0!</v>
      </c>
    </row>
    <row r="561" spans="1:8" x14ac:dyDescent="0.2">
      <c r="A561" s="60"/>
      <c r="B561" s="60" t="s">
        <v>189</v>
      </c>
      <c r="C561" s="97" t="s">
        <v>190</v>
      </c>
      <c r="D561" s="27">
        <f>22987-8177</f>
        <v>14810</v>
      </c>
      <c r="E561" s="28">
        <f>'Buget 2024'!D561</f>
        <v>100633</v>
      </c>
      <c r="G561" s="122">
        <f t="shared" si="76"/>
        <v>85823</v>
      </c>
      <c r="H561" s="123">
        <f t="shared" si="77"/>
        <v>579.49358541525999</v>
      </c>
    </row>
    <row r="562" spans="1:8" x14ac:dyDescent="0.2">
      <c r="A562" s="60"/>
      <c r="B562" s="60" t="s">
        <v>191</v>
      </c>
      <c r="C562" s="97" t="s">
        <v>192</v>
      </c>
      <c r="D562" s="27">
        <v>4969</v>
      </c>
      <c r="E562" s="28">
        <f>'Buget 2024'!D562</f>
        <v>74490</v>
      </c>
      <c r="G562" s="122">
        <f t="shared" si="76"/>
        <v>69521</v>
      </c>
      <c r="H562" s="123">
        <f t="shared" si="77"/>
        <v>1399.0943851881666</v>
      </c>
    </row>
    <row r="563" spans="1:8" ht="25.5" x14ac:dyDescent="0.2">
      <c r="A563" s="104" t="s">
        <v>29</v>
      </c>
      <c r="B563" s="104" t="s">
        <v>146</v>
      </c>
      <c r="C563" s="99" t="s">
        <v>196</v>
      </c>
      <c r="D563" s="100"/>
      <c r="E563" s="100"/>
      <c r="G563" s="122">
        <f t="shared" si="76"/>
        <v>0</v>
      </c>
      <c r="H563" s="123" t="e">
        <f t="shared" si="77"/>
        <v>#DIV/0!</v>
      </c>
    </row>
    <row r="564" spans="1:8" x14ac:dyDescent="0.2">
      <c r="A564" s="104"/>
      <c r="B564" s="98" t="s">
        <v>189</v>
      </c>
      <c r="C564" s="99" t="s">
        <v>190</v>
      </c>
      <c r="D564" s="100">
        <f>D567</f>
        <v>5064</v>
      </c>
      <c r="E564" s="100">
        <f t="shared" ref="E564:E565" si="79">E567</f>
        <v>94250</v>
      </c>
      <c r="G564" s="122">
        <f t="shared" si="76"/>
        <v>89186</v>
      </c>
      <c r="H564" s="123">
        <f t="shared" si="77"/>
        <v>1761.176935229068</v>
      </c>
    </row>
    <row r="565" spans="1:8" x14ac:dyDescent="0.2">
      <c r="A565" s="104"/>
      <c r="B565" s="98" t="s">
        <v>191</v>
      </c>
      <c r="C565" s="99" t="s">
        <v>192</v>
      </c>
      <c r="D565" s="100">
        <f t="shared" ref="D565" si="80">D568</f>
        <v>58709</v>
      </c>
      <c r="E565" s="100">
        <f t="shared" si="79"/>
        <v>85000</v>
      </c>
      <c r="G565" s="122">
        <f t="shared" si="76"/>
        <v>26291</v>
      </c>
      <c r="H565" s="123">
        <f t="shared" si="77"/>
        <v>44.781890340492943</v>
      </c>
    </row>
    <row r="566" spans="1:8" ht="25.5" x14ac:dyDescent="0.2">
      <c r="A566" s="58" t="s">
        <v>29</v>
      </c>
      <c r="B566" s="58" t="s">
        <v>147</v>
      </c>
      <c r="C566" s="33" t="s">
        <v>250</v>
      </c>
      <c r="D566" s="35"/>
      <c r="E566" s="35"/>
      <c r="G566" s="122">
        <f t="shared" si="76"/>
        <v>0</v>
      </c>
      <c r="H566" s="123" t="e">
        <f t="shared" si="77"/>
        <v>#DIV/0!</v>
      </c>
    </row>
    <row r="567" spans="1:8" x14ac:dyDescent="0.2">
      <c r="A567" s="58"/>
      <c r="B567" s="60" t="s">
        <v>189</v>
      </c>
      <c r="C567" s="97" t="s">
        <v>190</v>
      </c>
      <c r="D567" s="27">
        <v>5064</v>
      </c>
      <c r="E567" s="28">
        <f>'Buget 2024'!D567</f>
        <v>94250</v>
      </c>
      <c r="G567" s="122">
        <f t="shared" si="76"/>
        <v>89186</v>
      </c>
      <c r="H567" s="123">
        <f t="shared" si="77"/>
        <v>1761.176935229068</v>
      </c>
    </row>
    <row r="568" spans="1:8" x14ac:dyDescent="0.2">
      <c r="A568" s="58"/>
      <c r="B568" s="60" t="s">
        <v>191</v>
      </c>
      <c r="C568" s="97" t="s">
        <v>192</v>
      </c>
      <c r="D568" s="27">
        <v>58709</v>
      </c>
      <c r="E568" s="28">
        <f>'Buget 2024'!D568</f>
        <v>85000</v>
      </c>
      <c r="G568" s="122">
        <f t="shared" si="76"/>
        <v>26291</v>
      </c>
      <c r="H568" s="123">
        <f t="shared" si="77"/>
        <v>44.781890340492943</v>
      </c>
    </row>
    <row r="569" spans="1:8" x14ac:dyDescent="0.2">
      <c r="A569" s="98" t="s">
        <v>29</v>
      </c>
      <c r="B569" s="98" t="s">
        <v>127</v>
      </c>
      <c r="C569" s="99" t="s">
        <v>37</v>
      </c>
      <c r="D569" s="100"/>
      <c r="E569" s="100"/>
      <c r="G569" s="122">
        <f t="shared" si="76"/>
        <v>0</v>
      </c>
      <c r="H569" s="123" t="e">
        <f t="shared" si="77"/>
        <v>#DIV/0!</v>
      </c>
    </row>
    <row r="570" spans="1:8" x14ac:dyDescent="0.2">
      <c r="A570" s="98"/>
      <c r="B570" s="98" t="s">
        <v>189</v>
      </c>
      <c r="C570" s="99" t="s">
        <v>190</v>
      </c>
      <c r="D570" s="100">
        <f t="shared" ref="D570:E571" si="81">D573</f>
        <v>23490</v>
      </c>
      <c r="E570" s="100">
        <f t="shared" si="81"/>
        <v>373701</v>
      </c>
      <c r="G570" s="122">
        <f t="shared" si="76"/>
        <v>350211</v>
      </c>
      <c r="H570" s="123">
        <f t="shared" si="77"/>
        <v>1490.8939974457217</v>
      </c>
    </row>
    <row r="571" spans="1:8" x14ac:dyDescent="0.2">
      <c r="A571" s="98"/>
      <c r="B571" s="98" t="s">
        <v>191</v>
      </c>
      <c r="C571" s="99" t="s">
        <v>192</v>
      </c>
      <c r="D571" s="100">
        <f t="shared" si="81"/>
        <v>58599</v>
      </c>
      <c r="E571" s="100">
        <f t="shared" si="81"/>
        <v>99270</v>
      </c>
      <c r="G571" s="122">
        <f t="shared" si="76"/>
        <v>40671</v>
      </c>
      <c r="H571" s="123">
        <f t="shared" si="77"/>
        <v>69.405621256335436</v>
      </c>
    </row>
    <row r="572" spans="1:8" x14ac:dyDescent="0.2">
      <c r="A572" s="98" t="s">
        <v>29</v>
      </c>
      <c r="B572" s="98" t="s">
        <v>129</v>
      </c>
      <c r="C572" s="99" t="s">
        <v>130</v>
      </c>
      <c r="D572" s="100"/>
      <c r="E572" s="100"/>
      <c r="G572" s="122">
        <f t="shared" si="76"/>
        <v>0</v>
      </c>
      <c r="H572" s="123" t="e">
        <f t="shared" si="77"/>
        <v>#DIV/0!</v>
      </c>
    </row>
    <row r="573" spans="1:8" x14ac:dyDescent="0.2">
      <c r="A573" s="98"/>
      <c r="B573" s="98" t="s">
        <v>189</v>
      </c>
      <c r="C573" s="99" t="s">
        <v>190</v>
      </c>
      <c r="D573" s="100">
        <f t="shared" ref="D573:E574" si="82">D576+D585</f>
        <v>23490</v>
      </c>
      <c r="E573" s="100">
        <f t="shared" si="82"/>
        <v>373701</v>
      </c>
      <c r="G573" s="122">
        <f t="shared" si="76"/>
        <v>350211</v>
      </c>
      <c r="H573" s="123">
        <f t="shared" si="77"/>
        <v>1490.8939974457217</v>
      </c>
    </row>
    <row r="574" spans="1:8" x14ac:dyDescent="0.2">
      <c r="A574" s="98"/>
      <c r="B574" s="98" t="s">
        <v>191</v>
      </c>
      <c r="C574" s="99" t="s">
        <v>192</v>
      </c>
      <c r="D574" s="100">
        <f t="shared" si="82"/>
        <v>58599</v>
      </c>
      <c r="E574" s="100">
        <f t="shared" si="82"/>
        <v>99270</v>
      </c>
      <c r="G574" s="122">
        <f t="shared" si="76"/>
        <v>40671</v>
      </c>
      <c r="H574" s="123">
        <f t="shared" si="77"/>
        <v>69.405621256335436</v>
      </c>
    </row>
    <row r="575" spans="1:8" x14ac:dyDescent="0.2">
      <c r="A575" s="98" t="s">
        <v>29</v>
      </c>
      <c r="B575" s="98" t="s">
        <v>131</v>
      </c>
      <c r="C575" s="99" t="s">
        <v>132</v>
      </c>
      <c r="D575" s="100"/>
      <c r="E575" s="100"/>
      <c r="G575" s="122">
        <f t="shared" si="76"/>
        <v>0</v>
      </c>
      <c r="H575" s="123" t="e">
        <f t="shared" si="77"/>
        <v>#DIV/0!</v>
      </c>
    </row>
    <row r="576" spans="1:8" x14ac:dyDescent="0.2">
      <c r="A576" s="98"/>
      <c r="B576" s="98" t="s">
        <v>189</v>
      </c>
      <c r="C576" s="99" t="s">
        <v>190</v>
      </c>
      <c r="D576" s="100">
        <f t="shared" ref="D576:E577" si="83">D579+D582</f>
        <v>20849</v>
      </c>
      <c r="E576" s="100">
        <f t="shared" si="83"/>
        <v>370001</v>
      </c>
      <c r="G576" s="122">
        <f t="shared" si="76"/>
        <v>349152</v>
      </c>
      <c r="H576" s="123">
        <f t="shared" si="77"/>
        <v>1674.6702479735241</v>
      </c>
    </row>
    <row r="577" spans="1:8" x14ac:dyDescent="0.2">
      <c r="A577" s="98"/>
      <c r="B577" s="98" t="s">
        <v>191</v>
      </c>
      <c r="C577" s="99" t="s">
        <v>192</v>
      </c>
      <c r="D577" s="100">
        <f t="shared" si="83"/>
        <v>55958</v>
      </c>
      <c r="E577" s="100">
        <f t="shared" si="83"/>
        <v>96590</v>
      </c>
      <c r="G577" s="122">
        <f t="shared" si="76"/>
        <v>40632</v>
      </c>
      <c r="H577" s="123">
        <f t="shared" si="77"/>
        <v>72.611601558311591</v>
      </c>
    </row>
    <row r="578" spans="1:8" x14ac:dyDescent="0.2">
      <c r="A578" s="32" t="s">
        <v>29</v>
      </c>
      <c r="B578" s="32" t="s">
        <v>133</v>
      </c>
      <c r="C578" s="33" t="s">
        <v>134</v>
      </c>
      <c r="D578" s="35"/>
      <c r="E578" s="35"/>
      <c r="G578" s="122">
        <f t="shared" si="76"/>
        <v>0</v>
      </c>
      <c r="H578" s="123" t="e">
        <f t="shared" si="77"/>
        <v>#DIV/0!</v>
      </c>
    </row>
    <row r="579" spans="1:8" x14ac:dyDescent="0.2">
      <c r="A579" s="32"/>
      <c r="B579" s="60" t="s">
        <v>189</v>
      </c>
      <c r="C579" s="97" t="s">
        <v>190</v>
      </c>
      <c r="D579" s="28">
        <v>20849</v>
      </c>
      <c r="E579" s="28">
        <f>'Buget 2024'!D579</f>
        <v>370001</v>
      </c>
      <c r="G579" s="122">
        <f t="shared" si="76"/>
        <v>349152</v>
      </c>
      <c r="H579" s="123">
        <f t="shared" si="77"/>
        <v>1674.6702479735241</v>
      </c>
    </row>
    <row r="580" spans="1:8" x14ac:dyDescent="0.2">
      <c r="A580" s="32"/>
      <c r="B580" s="60" t="s">
        <v>191</v>
      </c>
      <c r="C580" s="97" t="s">
        <v>192</v>
      </c>
      <c r="D580" s="27">
        <v>55958</v>
      </c>
      <c r="E580" s="28">
        <f>'Buget 2024'!D580</f>
        <v>96590</v>
      </c>
      <c r="G580" s="122">
        <f t="shared" si="76"/>
        <v>40632</v>
      </c>
      <c r="H580" s="123">
        <f t="shared" si="77"/>
        <v>72.611601558311591</v>
      </c>
    </row>
    <row r="581" spans="1:8" hidden="1" x14ac:dyDescent="0.2">
      <c r="A581" s="32" t="s">
        <v>29</v>
      </c>
      <c r="B581" s="32" t="s">
        <v>139</v>
      </c>
      <c r="C581" s="33" t="s">
        <v>14</v>
      </c>
      <c r="D581" s="34"/>
      <c r="E581" s="34"/>
      <c r="G581" s="122">
        <f t="shared" si="76"/>
        <v>0</v>
      </c>
      <c r="H581" s="123" t="e">
        <f t="shared" si="77"/>
        <v>#DIV/0!</v>
      </c>
    </row>
    <row r="582" spans="1:8" hidden="1" x14ac:dyDescent="0.2">
      <c r="A582" s="32"/>
      <c r="B582" s="60" t="s">
        <v>189</v>
      </c>
      <c r="C582" s="97" t="s">
        <v>190</v>
      </c>
      <c r="D582" s="27"/>
      <c r="E582" s="28">
        <f>'Buget 2024'!D582</f>
        <v>0</v>
      </c>
      <c r="G582" s="122">
        <f t="shared" si="76"/>
        <v>0</v>
      </c>
      <c r="H582" s="123" t="e">
        <f t="shared" si="77"/>
        <v>#DIV/0!</v>
      </c>
    </row>
    <row r="583" spans="1:8" hidden="1" x14ac:dyDescent="0.2">
      <c r="A583" s="32"/>
      <c r="B583" s="60" t="s">
        <v>191</v>
      </c>
      <c r="C583" s="97" t="s">
        <v>192</v>
      </c>
      <c r="D583" s="27"/>
      <c r="E583" s="28">
        <f>'Buget 2024'!D583</f>
        <v>0</v>
      </c>
      <c r="G583" s="122">
        <f t="shared" si="76"/>
        <v>0</v>
      </c>
      <c r="H583" s="123" t="e">
        <f t="shared" si="77"/>
        <v>#DIV/0!</v>
      </c>
    </row>
    <row r="584" spans="1:8" x14ac:dyDescent="0.2">
      <c r="A584" s="32" t="s">
        <v>29</v>
      </c>
      <c r="B584" s="32" t="s">
        <v>140</v>
      </c>
      <c r="C584" s="33" t="s">
        <v>322</v>
      </c>
      <c r="D584" s="28"/>
      <c r="E584" s="28"/>
      <c r="G584" s="122">
        <f t="shared" si="76"/>
        <v>0</v>
      </c>
      <c r="H584" s="123" t="e">
        <f t="shared" si="77"/>
        <v>#DIV/0!</v>
      </c>
    </row>
    <row r="585" spans="1:8" x14ac:dyDescent="0.2">
      <c r="A585" s="32"/>
      <c r="B585" s="60" t="s">
        <v>189</v>
      </c>
      <c r="C585" s="97" t="s">
        <v>190</v>
      </c>
      <c r="D585" s="27">
        <v>2641</v>
      </c>
      <c r="E585" s="28">
        <f>'Buget 2024'!D585</f>
        <v>3700</v>
      </c>
      <c r="G585" s="122">
        <f t="shared" si="76"/>
        <v>1059</v>
      </c>
      <c r="H585" s="123">
        <f t="shared" si="77"/>
        <v>40.098447557743278</v>
      </c>
    </row>
    <row r="586" spans="1:8" x14ac:dyDescent="0.2">
      <c r="A586" s="32"/>
      <c r="B586" s="60" t="s">
        <v>191</v>
      </c>
      <c r="C586" s="97" t="s">
        <v>192</v>
      </c>
      <c r="D586" s="27">
        <v>2641</v>
      </c>
      <c r="E586" s="28">
        <f>'Buget 2024'!D586</f>
        <v>2680</v>
      </c>
      <c r="G586" s="122">
        <f t="shared" si="76"/>
        <v>39</v>
      </c>
      <c r="H586" s="123">
        <f t="shared" si="77"/>
        <v>1.476713366149186</v>
      </c>
    </row>
    <row r="587" spans="1:8" x14ac:dyDescent="0.2">
      <c r="A587" s="98" t="s">
        <v>148</v>
      </c>
      <c r="B587" s="98" t="s">
        <v>149</v>
      </c>
      <c r="C587" s="99" t="s">
        <v>248</v>
      </c>
      <c r="D587" s="100"/>
      <c r="E587" s="100"/>
      <c r="G587" s="122">
        <f t="shared" si="76"/>
        <v>0</v>
      </c>
      <c r="H587" s="123" t="e">
        <f t="shared" si="77"/>
        <v>#DIV/0!</v>
      </c>
    </row>
    <row r="588" spans="1:8" x14ac:dyDescent="0.2">
      <c r="A588" s="98"/>
      <c r="B588" s="98" t="s">
        <v>189</v>
      </c>
      <c r="C588" s="99" t="s">
        <v>190</v>
      </c>
      <c r="D588" s="100">
        <f>D591+D603</f>
        <v>970</v>
      </c>
      <c r="E588" s="100">
        <f>E591+E603</f>
        <v>139643</v>
      </c>
      <c r="G588" s="122">
        <f t="shared" si="76"/>
        <v>138673</v>
      </c>
      <c r="H588" s="123">
        <f t="shared" si="77"/>
        <v>14296.185567010309</v>
      </c>
    </row>
    <row r="589" spans="1:8" x14ac:dyDescent="0.2">
      <c r="A589" s="98"/>
      <c r="B589" s="98" t="s">
        <v>191</v>
      </c>
      <c r="C589" s="99" t="s">
        <v>192</v>
      </c>
      <c r="D589" s="100">
        <f>D592+D604</f>
        <v>483</v>
      </c>
      <c r="E589" s="100">
        <f>E592+E604</f>
        <v>139643</v>
      </c>
      <c r="G589" s="122">
        <f t="shared" si="76"/>
        <v>139160</v>
      </c>
      <c r="H589" s="123">
        <f t="shared" si="77"/>
        <v>28811.594202898552</v>
      </c>
    </row>
    <row r="590" spans="1:8" x14ac:dyDescent="0.2">
      <c r="A590" s="98" t="s">
        <v>148</v>
      </c>
      <c r="B590" s="98" t="s">
        <v>31</v>
      </c>
      <c r="C590" s="99" t="s">
        <v>32</v>
      </c>
      <c r="D590" s="100"/>
      <c r="E590" s="100"/>
      <c r="G590" s="122">
        <f t="shared" si="76"/>
        <v>0</v>
      </c>
      <c r="H590" s="123" t="e">
        <f t="shared" si="77"/>
        <v>#DIV/0!</v>
      </c>
    </row>
    <row r="591" spans="1:8" x14ac:dyDescent="0.2">
      <c r="A591" s="98"/>
      <c r="B591" s="98" t="s">
        <v>189</v>
      </c>
      <c r="C591" s="99" t="s">
        <v>190</v>
      </c>
      <c r="D591" s="100">
        <f t="shared" ref="D591:E592" si="84">D594</f>
        <v>439</v>
      </c>
      <c r="E591" s="100">
        <f t="shared" si="84"/>
        <v>138743</v>
      </c>
      <c r="G591" s="122">
        <f t="shared" si="76"/>
        <v>138304</v>
      </c>
      <c r="H591" s="123">
        <f t="shared" si="77"/>
        <v>31504.328018223237</v>
      </c>
    </row>
    <row r="592" spans="1:8" x14ac:dyDescent="0.2">
      <c r="A592" s="98"/>
      <c r="B592" s="98" t="s">
        <v>191</v>
      </c>
      <c r="C592" s="99" t="s">
        <v>192</v>
      </c>
      <c r="D592" s="100">
        <f t="shared" si="84"/>
        <v>420</v>
      </c>
      <c r="E592" s="100">
        <f t="shared" si="84"/>
        <v>138743</v>
      </c>
      <c r="G592" s="122">
        <f t="shared" si="76"/>
        <v>138323</v>
      </c>
      <c r="H592" s="123">
        <f t="shared" si="77"/>
        <v>32934.047619047618</v>
      </c>
    </row>
    <row r="593" spans="1:8" x14ac:dyDescent="0.2">
      <c r="A593" s="98" t="s">
        <v>148</v>
      </c>
      <c r="B593" s="98" t="s">
        <v>142</v>
      </c>
      <c r="C593" s="99" t="s">
        <v>193</v>
      </c>
      <c r="D593" s="100"/>
      <c r="E593" s="100"/>
      <c r="G593" s="122">
        <f t="shared" si="76"/>
        <v>0</v>
      </c>
      <c r="H593" s="123" t="e">
        <f t="shared" si="77"/>
        <v>#DIV/0!</v>
      </c>
    </row>
    <row r="594" spans="1:8" x14ac:dyDescent="0.2">
      <c r="A594" s="98"/>
      <c r="B594" s="98" t="s">
        <v>189</v>
      </c>
      <c r="C594" s="99" t="s">
        <v>190</v>
      </c>
      <c r="D594" s="100">
        <f>D597+D600</f>
        <v>439</v>
      </c>
      <c r="E594" s="100">
        <f>E597+E600</f>
        <v>138743</v>
      </c>
      <c r="G594" s="122">
        <f t="shared" si="76"/>
        <v>138304</v>
      </c>
      <c r="H594" s="123">
        <f t="shared" si="77"/>
        <v>31504.328018223237</v>
      </c>
    </row>
    <row r="595" spans="1:8" x14ac:dyDescent="0.2">
      <c r="A595" s="98"/>
      <c r="B595" s="98" t="s">
        <v>191</v>
      </c>
      <c r="C595" s="99" t="s">
        <v>192</v>
      </c>
      <c r="D595" s="100">
        <f>D598+D601</f>
        <v>420</v>
      </c>
      <c r="E595" s="100">
        <f>E598+E601</f>
        <v>138743</v>
      </c>
      <c r="G595" s="122">
        <f t="shared" si="76"/>
        <v>138323</v>
      </c>
      <c r="H595" s="123">
        <f t="shared" si="77"/>
        <v>32934.047619047618</v>
      </c>
    </row>
    <row r="596" spans="1:8" x14ac:dyDescent="0.2">
      <c r="A596" s="32" t="s">
        <v>148</v>
      </c>
      <c r="B596" s="32" t="s">
        <v>99</v>
      </c>
      <c r="C596" s="45" t="s">
        <v>231</v>
      </c>
      <c r="D596" s="35"/>
      <c r="E596" s="35"/>
      <c r="G596" s="122"/>
      <c r="H596" s="123"/>
    </row>
    <row r="597" spans="1:8" x14ac:dyDescent="0.2">
      <c r="A597" s="32"/>
      <c r="B597" s="60" t="s">
        <v>189</v>
      </c>
      <c r="C597" s="97" t="s">
        <v>190</v>
      </c>
      <c r="D597" s="27"/>
      <c r="E597" s="28">
        <f>'Buget 2024'!D597</f>
        <v>137843</v>
      </c>
      <c r="G597" s="122"/>
      <c r="H597" s="123"/>
    </row>
    <row r="598" spans="1:8" x14ac:dyDescent="0.2">
      <c r="A598" s="32"/>
      <c r="B598" s="60" t="s">
        <v>191</v>
      </c>
      <c r="C598" s="97" t="s">
        <v>192</v>
      </c>
      <c r="D598" s="27"/>
      <c r="E598" s="28">
        <f>'Buget 2024'!D598</f>
        <v>137843</v>
      </c>
      <c r="G598" s="122"/>
      <c r="H598" s="123"/>
    </row>
    <row r="599" spans="1:8" x14ac:dyDescent="0.2">
      <c r="A599" s="32" t="s">
        <v>148</v>
      </c>
      <c r="B599" s="32" t="s">
        <v>100</v>
      </c>
      <c r="C599" s="33" t="s">
        <v>249</v>
      </c>
      <c r="D599" s="35"/>
      <c r="E599" s="35"/>
      <c r="G599" s="122">
        <f t="shared" si="76"/>
        <v>0</v>
      </c>
      <c r="H599" s="123" t="e">
        <f t="shared" si="77"/>
        <v>#DIV/0!</v>
      </c>
    </row>
    <row r="600" spans="1:8" x14ac:dyDescent="0.2">
      <c r="A600" s="32"/>
      <c r="B600" s="60" t="s">
        <v>189</v>
      </c>
      <c r="C600" s="97" t="s">
        <v>190</v>
      </c>
      <c r="D600" s="27">
        <v>439</v>
      </c>
      <c r="E600" s="28">
        <f>'Buget 2024'!D600</f>
        <v>900</v>
      </c>
      <c r="G600" s="122">
        <f t="shared" si="76"/>
        <v>461</v>
      </c>
      <c r="H600" s="123">
        <f t="shared" si="77"/>
        <v>105.01138952164008</v>
      </c>
    </row>
    <row r="601" spans="1:8" x14ac:dyDescent="0.2">
      <c r="A601" s="32"/>
      <c r="B601" s="60" t="s">
        <v>191</v>
      </c>
      <c r="C601" s="97" t="s">
        <v>192</v>
      </c>
      <c r="D601" s="27">
        <v>420</v>
      </c>
      <c r="E601" s="28">
        <f>'Buget 2024'!D601</f>
        <v>900</v>
      </c>
      <c r="G601" s="122">
        <f t="shared" si="76"/>
        <v>480</v>
      </c>
      <c r="H601" s="123">
        <f t="shared" si="77"/>
        <v>114.28571428571428</v>
      </c>
    </row>
    <row r="602" spans="1:8" x14ac:dyDescent="0.2">
      <c r="A602" s="98" t="s">
        <v>148</v>
      </c>
      <c r="B602" s="98" t="s">
        <v>127</v>
      </c>
      <c r="C602" s="99" t="s">
        <v>37</v>
      </c>
      <c r="D602" s="100"/>
      <c r="E602" s="100"/>
      <c r="G602" s="122">
        <f t="shared" si="76"/>
        <v>0</v>
      </c>
      <c r="H602" s="123" t="e">
        <f t="shared" si="77"/>
        <v>#DIV/0!</v>
      </c>
    </row>
    <row r="603" spans="1:8" x14ac:dyDescent="0.2">
      <c r="A603" s="98"/>
      <c r="B603" s="98" t="s">
        <v>189</v>
      </c>
      <c r="C603" s="99" t="s">
        <v>190</v>
      </c>
      <c r="D603" s="100">
        <f t="shared" ref="D603:E604" si="85">D606</f>
        <v>531</v>
      </c>
      <c r="E603" s="100">
        <f t="shared" si="85"/>
        <v>900</v>
      </c>
      <c r="G603" s="122">
        <f t="shared" si="76"/>
        <v>369</v>
      </c>
      <c r="H603" s="123">
        <f t="shared" si="77"/>
        <v>69.491525423728817</v>
      </c>
    </row>
    <row r="604" spans="1:8" x14ac:dyDescent="0.2">
      <c r="A604" s="98"/>
      <c r="B604" s="98" t="s">
        <v>191</v>
      </c>
      <c r="C604" s="99" t="s">
        <v>192</v>
      </c>
      <c r="D604" s="100">
        <f t="shared" si="85"/>
        <v>63</v>
      </c>
      <c r="E604" s="100">
        <f t="shared" si="85"/>
        <v>900</v>
      </c>
      <c r="G604" s="122">
        <f t="shared" si="76"/>
        <v>837</v>
      </c>
      <c r="H604" s="123">
        <f t="shared" si="77"/>
        <v>1328.5714285714287</v>
      </c>
    </row>
    <row r="605" spans="1:8" x14ac:dyDescent="0.2">
      <c r="A605" s="32" t="s">
        <v>148</v>
      </c>
      <c r="B605" s="32" t="s">
        <v>150</v>
      </c>
      <c r="C605" s="33" t="s">
        <v>136</v>
      </c>
      <c r="D605" s="35"/>
      <c r="E605" s="35"/>
      <c r="G605" s="122">
        <f t="shared" si="76"/>
        <v>0</v>
      </c>
      <c r="H605" s="123" t="e">
        <f t="shared" si="77"/>
        <v>#DIV/0!</v>
      </c>
    </row>
    <row r="606" spans="1:8" x14ac:dyDescent="0.2">
      <c r="A606" s="32"/>
      <c r="B606" s="60" t="s">
        <v>189</v>
      </c>
      <c r="C606" s="97" t="s">
        <v>190</v>
      </c>
      <c r="D606" s="27">
        <v>531</v>
      </c>
      <c r="E606" s="28">
        <f>'Buget 2024'!D606</f>
        <v>900</v>
      </c>
      <c r="G606" s="122">
        <f t="shared" si="76"/>
        <v>369</v>
      </c>
      <c r="H606" s="123">
        <f t="shared" si="77"/>
        <v>69.491525423728817</v>
      </c>
    </row>
    <row r="607" spans="1:8" x14ac:dyDescent="0.2">
      <c r="A607" s="32"/>
      <c r="B607" s="60" t="s">
        <v>191</v>
      </c>
      <c r="C607" s="97" t="s">
        <v>192</v>
      </c>
      <c r="D607" s="27">
        <v>63</v>
      </c>
      <c r="E607" s="28">
        <f>'Buget 2024'!D607</f>
        <v>900</v>
      </c>
      <c r="G607" s="122">
        <f t="shared" ref="G607:G636" si="86">E607-D607</f>
        <v>837</v>
      </c>
      <c r="H607" s="123">
        <f t="shared" ref="H607:H636" si="87">G607/D607*100</f>
        <v>1328.5714285714287</v>
      </c>
    </row>
    <row r="608" spans="1:8" x14ac:dyDescent="0.2">
      <c r="A608" s="105" t="s">
        <v>29</v>
      </c>
      <c r="B608" s="105"/>
      <c r="C608" s="106" t="s">
        <v>151</v>
      </c>
      <c r="D608" s="107"/>
      <c r="E608" s="107"/>
      <c r="G608" s="122">
        <f t="shared" si="86"/>
        <v>0</v>
      </c>
      <c r="H608" s="123" t="e">
        <f t="shared" si="87"/>
        <v>#DIV/0!</v>
      </c>
    </row>
    <row r="609" spans="1:8" x14ac:dyDescent="0.2">
      <c r="A609" s="105"/>
      <c r="B609" s="105" t="s">
        <v>189</v>
      </c>
      <c r="C609" s="106" t="s">
        <v>190</v>
      </c>
      <c r="D609" s="107">
        <f t="shared" ref="D609:E610" si="88">D612</f>
        <v>0</v>
      </c>
      <c r="E609" s="107">
        <f t="shared" si="88"/>
        <v>5497</v>
      </c>
      <c r="G609" s="122">
        <f t="shared" si="86"/>
        <v>5497</v>
      </c>
      <c r="H609" s="123" t="e">
        <f t="shared" si="87"/>
        <v>#DIV/0!</v>
      </c>
    </row>
    <row r="610" spans="1:8" x14ac:dyDescent="0.2">
      <c r="A610" s="105"/>
      <c r="B610" s="105" t="s">
        <v>191</v>
      </c>
      <c r="C610" s="106" t="s">
        <v>192</v>
      </c>
      <c r="D610" s="107">
        <f t="shared" si="88"/>
        <v>0</v>
      </c>
      <c r="E610" s="107">
        <f t="shared" si="88"/>
        <v>5497</v>
      </c>
      <c r="G610" s="122">
        <f t="shared" si="86"/>
        <v>5497</v>
      </c>
      <c r="H610" s="123" t="e">
        <f t="shared" si="87"/>
        <v>#DIV/0!</v>
      </c>
    </row>
    <row r="611" spans="1:8" x14ac:dyDescent="0.2">
      <c r="A611" s="105" t="s">
        <v>29</v>
      </c>
      <c r="B611" s="105" t="s">
        <v>39</v>
      </c>
      <c r="C611" s="106" t="s">
        <v>197</v>
      </c>
      <c r="D611" s="107"/>
      <c r="E611" s="107"/>
      <c r="G611" s="122">
        <f t="shared" si="86"/>
        <v>0</v>
      </c>
      <c r="H611" s="123" t="e">
        <f t="shared" si="87"/>
        <v>#DIV/0!</v>
      </c>
    </row>
    <row r="612" spans="1:8" x14ac:dyDescent="0.2">
      <c r="A612" s="105"/>
      <c r="B612" s="105" t="s">
        <v>189</v>
      </c>
      <c r="C612" s="106" t="s">
        <v>190</v>
      </c>
      <c r="D612" s="107">
        <f t="shared" ref="D612:E613" si="89">D615</f>
        <v>0</v>
      </c>
      <c r="E612" s="107">
        <f t="shared" si="89"/>
        <v>5497</v>
      </c>
      <c r="G612" s="122">
        <f t="shared" si="86"/>
        <v>5497</v>
      </c>
      <c r="H612" s="123" t="e">
        <f t="shared" si="87"/>
        <v>#DIV/0!</v>
      </c>
    </row>
    <row r="613" spans="1:8" x14ac:dyDescent="0.2">
      <c r="A613" s="105"/>
      <c r="B613" s="105" t="s">
        <v>191</v>
      </c>
      <c r="C613" s="106" t="s">
        <v>192</v>
      </c>
      <c r="D613" s="107">
        <f t="shared" si="89"/>
        <v>0</v>
      </c>
      <c r="E613" s="107">
        <f t="shared" si="89"/>
        <v>5497</v>
      </c>
      <c r="G613" s="122">
        <f t="shared" si="86"/>
        <v>5497</v>
      </c>
      <c r="H613" s="123" t="e">
        <f t="shared" si="87"/>
        <v>#DIV/0!</v>
      </c>
    </row>
    <row r="614" spans="1:8" x14ac:dyDescent="0.2">
      <c r="A614" s="105" t="s">
        <v>29</v>
      </c>
      <c r="B614" s="105" t="s">
        <v>31</v>
      </c>
      <c r="C614" s="106" t="s">
        <v>32</v>
      </c>
      <c r="D614" s="107"/>
      <c r="E614" s="107"/>
      <c r="G614" s="122">
        <f t="shared" si="86"/>
        <v>0</v>
      </c>
      <c r="H614" s="123" t="e">
        <f t="shared" si="87"/>
        <v>#DIV/0!</v>
      </c>
    </row>
    <row r="615" spans="1:8" x14ac:dyDescent="0.2">
      <c r="A615" s="105"/>
      <c r="B615" s="105" t="s">
        <v>189</v>
      </c>
      <c r="C615" s="106" t="s">
        <v>190</v>
      </c>
      <c r="D615" s="107">
        <f>D618+D627</f>
        <v>0</v>
      </c>
      <c r="E615" s="107">
        <f t="shared" ref="E615:E616" si="90">E618+E627</f>
        <v>5497</v>
      </c>
      <c r="G615" s="122">
        <f t="shared" si="86"/>
        <v>5497</v>
      </c>
      <c r="H615" s="123" t="e">
        <f t="shared" si="87"/>
        <v>#DIV/0!</v>
      </c>
    </row>
    <row r="616" spans="1:8" x14ac:dyDescent="0.2">
      <c r="A616" s="105"/>
      <c r="B616" s="105" t="s">
        <v>191</v>
      </c>
      <c r="C616" s="106" t="s">
        <v>192</v>
      </c>
      <c r="D616" s="107">
        <f>D619+D628</f>
        <v>0</v>
      </c>
      <c r="E616" s="107">
        <f t="shared" si="90"/>
        <v>5497</v>
      </c>
      <c r="G616" s="122">
        <f t="shared" si="86"/>
        <v>5497</v>
      </c>
      <c r="H616" s="123" t="e">
        <f t="shared" si="87"/>
        <v>#DIV/0!</v>
      </c>
    </row>
    <row r="617" spans="1:8" ht="25.5" hidden="1" x14ac:dyDescent="0.2">
      <c r="A617" s="105" t="s">
        <v>29</v>
      </c>
      <c r="B617" s="108" t="s">
        <v>113</v>
      </c>
      <c r="C617" s="109" t="s">
        <v>194</v>
      </c>
      <c r="D617" s="110"/>
      <c r="E617" s="110"/>
      <c r="G617" s="122">
        <f t="shared" si="86"/>
        <v>0</v>
      </c>
      <c r="H617" s="123" t="e">
        <f t="shared" si="87"/>
        <v>#DIV/0!</v>
      </c>
    </row>
    <row r="618" spans="1:8" hidden="1" x14ac:dyDescent="0.2">
      <c r="A618" s="105"/>
      <c r="B618" s="105" t="s">
        <v>189</v>
      </c>
      <c r="C618" s="106" t="s">
        <v>190</v>
      </c>
      <c r="D618" s="110">
        <f t="shared" ref="D618:E619" si="91">D621</f>
        <v>0</v>
      </c>
      <c r="E618" s="110">
        <f t="shared" si="91"/>
        <v>0</v>
      </c>
      <c r="G618" s="122">
        <f t="shared" si="86"/>
        <v>0</v>
      </c>
      <c r="H618" s="123" t="e">
        <f t="shared" si="87"/>
        <v>#DIV/0!</v>
      </c>
    </row>
    <row r="619" spans="1:8" hidden="1" x14ac:dyDescent="0.2">
      <c r="A619" s="105"/>
      <c r="B619" s="105" t="s">
        <v>191</v>
      </c>
      <c r="C619" s="106" t="s">
        <v>192</v>
      </c>
      <c r="D619" s="110">
        <f t="shared" si="91"/>
        <v>0</v>
      </c>
      <c r="E619" s="110">
        <f t="shared" si="91"/>
        <v>0</v>
      </c>
      <c r="G619" s="122">
        <f t="shared" si="86"/>
        <v>0</v>
      </c>
      <c r="H619" s="123" t="e">
        <f t="shared" si="87"/>
        <v>#DIV/0!</v>
      </c>
    </row>
    <row r="620" spans="1:8" hidden="1" x14ac:dyDescent="0.2">
      <c r="A620" s="105" t="s">
        <v>29</v>
      </c>
      <c r="B620" s="108" t="s">
        <v>152</v>
      </c>
      <c r="C620" s="109" t="s">
        <v>153</v>
      </c>
      <c r="D620" s="110"/>
      <c r="E620" s="110"/>
      <c r="G620" s="122">
        <f t="shared" si="86"/>
        <v>0</v>
      </c>
      <c r="H620" s="123" t="e">
        <f t="shared" si="87"/>
        <v>#DIV/0!</v>
      </c>
    </row>
    <row r="621" spans="1:8" hidden="1" x14ac:dyDescent="0.2">
      <c r="A621" s="105"/>
      <c r="B621" s="105" t="s">
        <v>189</v>
      </c>
      <c r="C621" s="106" t="s">
        <v>190</v>
      </c>
      <c r="D621" s="110">
        <f t="shared" ref="D621:E622" si="92">D624</f>
        <v>0</v>
      </c>
      <c r="E621" s="110">
        <f t="shared" si="92"/>
        <v>0</v>
      </c>
      <c r="G621" s="122">
        <f t="shared" si="86"/>
        <v>0</v>
      </c>
      <c r="H621" s="123" t="e">
        <f t="shared" si="87"/>
        <v>#DIV/0!</v>
      </c>
    </row>
    <row r="622" spans="1:8" hidden="1" x14ac:dyDescent="0.2">
      <c r="A622" s="105"/>
      <c r="B622" s="105" t="s">
        <v>191</v>
      </c>
      <c r="C622" s="106" t="s">
        <v>192</v>
      </c>
      <c r="D622" s="110">
        <f t="shared" si="92"/>
        <v>0</v>
      </c>
      <c r="E622" s="110">
        <f t="shared" si="92"/>
        <v>0</v>
      </c>
      <c r="G622" s="122">
        <f t="shared" si="86"/>
        <v>0</v>
      </c>
      <c r="H622" s="123" t="e">
        <f t="shared" si="87"/>
        <v>#DIV/0!</v>
      </c>
    </row>
    <row r="623" spans="1:8" hidden="1" x14ac:dyDescent="0.2">
      <c r="A623" s="32" t="s">
        <v>29</v>
      </c>
      <c r="B623" s="58" t="s">
        <v>154</v>
      </c>
      <c r="C623" s="59" t="s">
        <v>241</v>
      </c>
      <c r="D623" s="111"/>
      <c r="E623" s="111"/>
      <c r="G623" s="122">
        <f t="shared" si="86"/>
        <v>0</v>
      </c>
      <c r="H623" s="123" t="e">
        <f t="shared" si="87"/>
        <v>#DIV/0!</v>
      </c>
    </row>
    <row r="624" spans="1:8" hidden="1" x14ac:dyDescent="0.2">
      <c r="A624" s="32"/>
      <c r="B624" s="60" t="s">
        <v>189</v>
      </c>
      <c r="C624" s="97" t="s">
        <v>190</v>
      </c>
      <c r="D624" s="27"/>
      <c r="E624" s="28">
        <f>'Buget 2024'!D624</f>
        <v>0</v>
      </c>
      <c r="G624" s="122">
        <f t="shared" si="86"/>
        <v>0</v>
      </c>
      <c r="H624" s="123" t="e">
        <f t="shared" si="87"/>
        <v>#DIV/0!</v>
      </c>
    </row>
    <row r="625" spans="1:8" hidden="1" x14ac:dyDescent="0.2">
      <c r="A625" s="32"/>
      <c r="B625" s="60" t="s">
        <v>191</v>
      </c>
      <c r="C625" s="97" t="s">
        <v>192</v>
      </c>
      <c r="D625" s="27"/>
      <c r="E625" s="28">
        <f>'Buget 2024'!D625</f>
        <v>0</v>
      </c>
      <c r="G625" s="122">
        <f t="shared" si="86"/>
        <v>0</v>
      </c>
      <c r="H625" s="123" t="e">
        <f t="shared" si="87"/>
        <v>#DIV/0!</v>
      </c>
    </row>
    <row r="626" spans="1:8" ht="38.25" x14ac:dyDescent="0.2">
      <c r="A626" s="112" t="s">
        <v>29</v>
      </c>
      <c r="B626" s="108">
        <v>58</v>
      </c>
      <c r="C626" s="109" t="s">
        <v>195</v>
      </c>
      <c r="D626" s="110"/>
      <c r="E626" s="110"/>
      <c r="G626" s="122">
        <f t="shared" si="86"/>
        <v>0</v>
      </c>
      <c r="H626" s="123" t="e">
        <f t="shared" si="87"/>
        <v>#DIV/0!</v>
      </c>
    </row>
    <row r="627" spans="1:8" x14ac:dyDescent="0.2">
      <c r="A627" s="105"/>
      <c r="B627" s="105" t="s">
        <v>189</v>
      </c>
      <c r="C627" s="106" t="s">
        <v>190</v>
      </c>
      <c r="D627" s="110">
        <f t="shared" ref="D627:E628" si="93">D630</f>
        <v>0</v>
      </c>
      <c r="E627" s="110">
        <f t="shared" si="93"/>
        <v>5497</v>
      </c>
      <c r="G627" s="122">
        <f t="shared" si="86"/>
        <v>5497</v>
      </c>
      <c r="H627" s="123" t="e">
        <f t="shared" si="87"/>
        <v>#DIV/0!</v>
      </c>
    </row>
    <row r="628" spans="1:8" x14ac:dyDescent="0.2">
      <c r="A628" s="105"/>
      <c r="B628" s="105" t="s">
        <v>191</v>
      </c>
      <c r="C628" s="106" t="s">
        <v>192</v>
      </c>
      <c r="D628" s="110">
        <f t="shared" si="93"/>
        <v>0</v>
      </c>
      <c r="E628" s="110">
        <f t="shared" si="93"/>
        <v>5497</v>
      </c>
      <c r="G628" s="122">
        <f t="shared" si="86"/>
        <v>5497</v>
      </c>
      <c r="H628" s="123" t="e">
        <f t="shared" si="87"/>
        <v>#DIV/0!</v>
      </c>
    </row>
    <row r="629" spans="1:8" x14ac:dyDescent="0.2">
      <c r="A629" s="105" t="s">
        <v>29</v>
      </c>
      <c r="B629" s="113" t="s">
        <v>304</v>
      </c>
      <c r="C629" s="109" t="s">
        <v>153</v>
      </c>
      <c r="D629" s="110"/>
      <c r="E629" s="110"/>
      <c r="G629" s="122">
        <f t="shared" si="86"/>
        <v>0</v>
      </c>
      <c r="H629" s="123" t="e">
        <f t="shared" si="87"/>
        <v>#DIV/0!</v>
      </c>
    </row>
    <row r="630" spans="1:8" x14ac:dyDescent="0.2">
      <c r="A630" s="105"/>
      <c r="B630" s="105" t="s">
        <v>189</v>
      </c>
      <c r="C630" s="106" t="s">
        <v>190</v>
      </c>
      <c r="D630" s="110">
        <f t="shared" ref="D630:E631" si="94">D633</f>
        <v>0</v>
      </c>
      <c r="E630" s="110">
        <f t="shared" si="94"/>
        <v>5497</v>
      </c>
      <c r="G630" s="122">
        <f t="shared" si="86"/>
        <v>5497</v>
      </c>
      <c r="H630" s="123" t="e">
        <f t="shared" si="87"/>
        <v>#DIV/0!</v>
      </c>
    </row>
    <row r="631" spans="1:8" x14ac:dyDescent="0.2">
      <c r="A631" s="105"/>
      <c r="B631" s="105" t="s">
        <v>191</v>
      </c>
      <c r="C631" s="106" t="s">
        <v>192</v>
      </c>
      <c r="D631" s="110">
        <f t="shared" si="94"/>
        <v>0</v>
      </c>
      <c r="E631" s="110">
        <f t="shared" si="94"/>
        <v>5497</v>
      </c>
      <c r="G631" s="122">
        <f t="shared" si="86"/>
        <v>5497</v>
      </c>
      <c r="H631" s="123" t="e">
        <f t="shared" si="87"/>
        <v>#DIV/0!</v>
      </c>
    </row>
    <row r="632" spans="1:8" x14ac:dyDescent="0.2">
      <c r="A632" s="32" t="s">
        <v>29</v>
      </c>
      <c r="B632" s="58" t="s">
        <v>124</v>
      </c>
      <c r="C632" s="59" t="s">
        <v>241</v>
      </c>
      <c r="D632" s="111"/>
      <c r="E632" s="111"/>
      <c r="G632" s="122">
        <f t="shared" si="86"/>
        <v>0</v>
      </c>
      <c r="H632" s="123" t="e">
        <f t="shared" si="87"/>
        <v>#DIV/0!</v>
      </c>
    </row>
    <row r="633" spans="1:8" x14ac:dyDescent="0.2">
      <c r="A633" s="32"/>
      <c r="B633" s="60" t="s">
        <v>189</v>
      </c>
      <c r="C633" s="97" t="s">
        <v>190</v>
      </c>
      <c r="D633" s="27"/>
      <c r="E633" s="28">
        <f>'Buget 2024'!D633</f>
        <v>5497</v>
      </c>
      <c r="G633" s="122">
        <f t="shared" si="86"/>
        <v>5497</v>
      </c>
      <c r="H633" s="123" t="e">
        <f t="shared" si="87"/>
        <v>#DIV/0!</v>
      </c>
    </row>
    <row r="634" spans="1:8" x14ac:dyDescent="0.2">
      <c r="A634" s="32"/>
      <c r="B634" s="60" t="s">
        <v>191</v>
      </c>
      <c r="C634" s="97" t="s">
        <v>192</v>
      </c>
      <c r="D634" s="27"/>
      <c r="E634" s="28">
        <f>'Buget 2024'!D634</f>
        <v>5497</v>
      </c>
      <c r="G634" s="122">
        <f t="shared" si="86"/>
        <v>5497</v>
      </c>
      <c r="H634" s="123" t="e">
        <f t="shared" si="87"/>
        <v>#DIV/0!</v>
      </c>
    </row>
    <row r="635" spans="1:8" x14ac:dyDescent="0.2">
      <c r="A635" s="32" t="s">
        <v>29</v>
      </c>
      <c r="B635" s="58" t="s">
        <v>356</v>
      </c>
      <c r="C635" s="97" t="s">
        <v>357</v>
      </c>
      <c r="D635" s="27">
        <v>-5850</v>
      </c>
      <c r="E635" s="28"/>
      <c r="G635" s="122">
        <f t="shared" si="86"/>
        <v>5850</v>
      </c>
      <c r="H635" s="123">
        <f t="shared" si="87"/>
        <v>-100</v>
      </c>
    </row>
    <row r="636" spans="1:8" x14ac:dyDescent="0.2">
      <c r="A636" s="32" t="s">
        <v>29</v>
      </c>
      <c r="B636" s="32" t="s">
        <v>155</v>
      </c>
      <c r="C636" s="59" t="s">
        <v>156</v>
      </c>
      <c r="D636" s="132">
        <f>D15-D88</f>
        <v>154256</v>
      </c>
      <c r="E636" s="111">
        <f>E15-E88</f>
        <v>-265670</v>
      </c>
      <c r="G636" s="122">
        <f t="shared" si="86"/>
        <v>-419926</v>
      </c>
      <c r="H636" s="123">
        <f t="shared" si="87"/>
        <v>-272.22668810289389</v>
      </c>
    </row>
    <row r="639" spans="1:8" hidden="1" x14ac:dyDescent="0.2">
      <c r="A639" s="114" t="s">
        <v>295</v>
      </c>
      <c r="B639" s="114"/>
      <c r="C639" s="3" t="s">
        <v>355</v>
      </c>
      <c r="E639" s="125" t="s">
        <v>337</v>
      </c>
      <c r="F639" s="1"/>
    </row>
    <row r="640" spans="1:8" ht="18" hidden="1" customHeight="1" x14ac:dyDescent="0.2">
      <c r="A640" s="114" t="s">
        <v>296</v>
      </c>
      <c r="B640" s="114"/>
      <c r="C640" s="3" t="s">
        <v>321</v>
      </c>
      <c r="E640" s="125" t="s">
        <v>338</v>
      </c>
      <c r="F640" s="1"/>
    </row>
    <row r="641" spans="3:5" ht="18" customHeight="1" x14ac:dyDescent="0.2">
      <c r="C641" s="117"/>
    </row>
    <row r="642" spans="3:5" ht="17.25" customHeight="1" x14ac:dyDescent="0.2">
      <c r="C642" s="117"/>
      <c r="D642" s="130"/>
      <c r="E642" s="115"/>
    </row>
    <row r="644" spans="3:5" x14ac:dyDescent="0.2">
      <c r="D644" s="130"/>
    </row>
    <row r="645" spans="3:5" x14ac:dyDescent="0.2">
      <c r="D645" s="118"/>
    </row>
  </sheetData>
  <mergeCells count="7">
    <mergeCell ref="A11:C11"/>
    <mergeCell ref="D1:E1"/>
    <mergeCell ref="D2:E2"/>
    <mergeCell ref="D4:E4"/>
    <mergeCell ref="D5:E5"/>
    <mergeCell ref="D6:E6"/>
    <mergeCell ref="A8:E9"/>
  </mergeCells>
  <pageMargins left="0.59055118110236227" right="0" top="0.74803149606299213" bottom="0.51181102362204722" header="0.31496062992125984" footer="0.31496062992125984"/>
  <pageSetup paperSize="9" scale="85" orientation="portrait" r:id="rId1"/>
  <colBreaks count="1" manualBreakCount="1">
    <brk id="8" max="626"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Buget 2024</vt:lpstr>
      <vt:lpstr>Infl bvc </vt:lpstr>
      <vt:lpstr>Ex vs bvc</vt:lpstr>
      <vt:lpstr>'Buget 2024'!Print_Area</vt:lpstr>
      <vt:lpstr>'Ex vs bvc'!Print_Area</vt:lpstr>
      <vt:lpstr>'Infl bvc '!Print_Area</vt:lpstr>
      <vt:lpstr>'Buget 2024'!Print_Titles</vt:lpstr>
      <vt:lpstr>'Ex vs bvc'!Print_Titles</vt:lpstr>
      <vt:lpstr>'Infl bvc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2024-10-10T08:34:56Z</dcterms:modified>
</cp:coreProperties>
</file>