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BA4FFA00-872F-4BCC-8F02-AAAF52D88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C 2021 rectificat" sheetId="31" r:id="rId1"/>
    <sheet name="Influente bug 2021 vs. 2021 ini" sheetId="32" r:id="rId2"/>
    <sheet name="Ex 2021 vs buget 2021 init" sheetId="37" r:id="rId3"/>
  </sheets>
  <externalReferences>
    <externalReference r:id="rId4"/>
  </externalReferences>
  <definedNames>
    <definedName name="_xlnm.Print_Area" localSheetId="0">'BVC 2021 rectificat'!$A$1:$D$544</definedName>
    <definedName name="_xlnm.Print_Area" localSheetId="2">'Ex 2021 vs buget 2021 init'!$A$1:$E$534</definedName>
    <definedName name="_xlnm.Print_Area" localSheetId="1">'Influente bug 2021 vs. 2021 ini'!$A$1:$F$533</definedName>
    <definedName name="_xlnm.Print_Titles" localSheetId="0">'BVC 2021 rectificat'!$7:$8</definedName>
    <definedName name="_xlnm.Print_Titles" localSheetId="2">'Ex 2021 vs buget 2021 init'!$7:$8</definedName>
    <definedName name="_xlnm.Print_Titles" localSheetId="1">'Influente bug 2021 vs. 2021 ini'!$7:$8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7" i="31" l="1"/>
  <c r="D444" i="31"/>
  <c r="D435" i="31"/>
  <c r="D432" i="31"/>
  <c r="D403" i="31"/>
  <c r="D402" i="31"/>
  <c r="D397" i="31"/>
  <c r="D396" i="31"/>
  <c r="D211" i="31"/>
  <c r="D210" i="31"/>
  <c r="D208" i="31"/>
  <c r="D207" i="31"/>
  <c r="E544" i="31"/>
  <c r="D18" i="31"/>
  <c r="D17" i="31"/>
  <c r="D20" i="31"/>
  <c r="D19" i="31"/>
  <c r="D25" i="31"/>
  <c r="D23" i="31"/>
  <c r="D21" i="31"/>
  <c r="D14" i="31"/>
  <c r="D13" i="31"/>
  <c r="D12" i="31"/>
  <c r="D15" i="31"/>
  <c r="D11" i="31"/>
  <c r="D10" i="31"/>
  <c r="D32" i="31"/>
  <c r="D33" i="31"/>
  <c r="D31" i="31"/>
  <c r="D28" i="31"/>
  <c r="D36" i="31"/>
  <c r="D37" i="31"/>
  <c r="D27" i="31"/>
  <c r="D42" i="31"/>
  <c r="D44" i="31"/>
  <c r="D41" i="31"/>
  <c r="D57" i="31"/>
  <c r="D55" i="31"/>
  <c r="D48" i="31"/>
  <c r="D49" i="31"/>
  <c r="D47" i="31"/>
  <c r="D61" i="31"/>
  <c r="D52" i="31"/>
  <c r="D53" i="31"/>
  <c r="D51" i="31"/>
  <c r="D59" i="31"/>
  <c r="D46" i="31"/>
  <c r="D26" i="31"/>
  <c r="D9" i="31"/>
  <c r="D118" i="31"/>
  <c r="D121" i="31"/>
  <c r="D124" i="31"/>
  <c r="D127" i="31"/>
  <c r="D130" i="31"/>
  <c r="D139" i="31"/>
  <c r="D136" i="31"/>
  <c r="D115" i="31"/>
  <c r="D151" i="31"/>
  <c r="D154" i="31"/>
  <c r="D157" i="31"/>
  <c r="D160" i="31"/>
  <c r="D166" i="31"/>
  <c r="D169" i="31"/>
  <c r="D172" i="31"/>
  <c r="D148" i="31"/>
  <c r="D145" i="31"/>
  <c r="D142" i="31"/>
  <c r="D112" i="31"/>
  <c r="D73" i="31"/>
  <c r="D181" i="31"/>
  <c r="D184" i="31"/>
  <c r="D187" i="31"/>
  <c r="D190" i="31"/>
  <c r="D193" i="31"/>
  <c r="D196" i="31"/>
  <c r="D199" i="31"/>
  <c r="D202" i="31"/>
  <c r="D205" i="31"/>
  <c r="D178" i="31"/>
  <c r="D217" i="31"/>
  <c r="D214" i="31"/>
  <c r="D223" i="31"/>
  <c r="D226" i="31"/>
  <c r="D229" i="31"/>
  <c r="D232" i="31"/>
  <c r="D220" i="31"/>
  <c r="D238" i="31"/>
  <c r="D241" i="31"/>
  <c r="D244" i="31"/>
  <c r="D235" i="31"/>
  <c r="D250" i="31"/>
  <c r="D253" i="31"/>
  <c r="D247" i="31"/>
  <c r="D256" i="31"/>
  <c r="D259" i="31"/>
  <c r="D262" i="31"/>
  <c r="D265" i="31"/>
  <c r="D268" i="31"/>
  <c r="D271" i="31"/>
  <c r="D274" i="31"/>
  <c r="D277" i="31"/>
  <c r="D280" i="31"/>
  <c r="D286" i="31"/>
  <c r="D292" i="31"/>
  <c r="D295" i="31"/>
  <c r="D298" i="31"/>
  <c r="D301" i="31"/>
  <c r="D304" i="31"/>
  <c r="D307" i="31"/>
  <c r="D289" i="31"/>
  <c r="D175" i="31"/>
  <c r="D421" i="31"/>
  <c r="D418" i="31"/>
  <c r="D496" i="31"/>
  <c r="D76" i="31"/>
  <c r="D520" i="31"/>
  <c r="D517" i="31"/>
  <c r="D79" i="31"/>
  <c r="D313" i="31"/>
  <c r="D310" i="31"/>
  <c r="D82" i="31"/>
  <c r="D325" i="31"/>
  <c r="D328" i="31"/>
  <c r="D331" i="31"/>
  <c r="D322" i="31"/>
  <c r="D346" i="31"/>
  <c r="D349" i="31"/>
  <c r="D343" i="31"/>
  <c r="D364" i="31"/>
  <c r="D340" i="31"/>
  <c r="D334" i="31"/>
  <c r="D352" i="31"/>
  <c r="D319" i="31"/>
  <c r="D433" i="31"/>
  <c r="D436" i="31"/>
  <c r="D430" i="31"/>
  <c r="D445" i="31"/>
  <c r="D448" i="31"/>
  <c r="D451" i="31"/>
  <c r="D442" i="31"/>
  <c r="D427" i="31"/>
  <c r="D529" i="31"/>
  <c r="D526" i="31"/>
  <c r="D85" i="31"/>
  <c r="D382" i="31"/>
  <c r="D376" i="31"/>
  <c r="D88" i="31"/>
  <c r="D454" i="31"/>
  <c r="D91" i="31"/>
  <c r="D466" i="31"/>
  <c r="D94" i="31"/>
  <c r="D70" i="31"/>
  <c r="D394" i="31"/>
  <c r="D400" i="31"/>
  <c r="D391" i="31"/>
  <c r="D406" i="31"/>
  <c r="D388" i="31"/>
  <c r="D385" i="31"/>
  <c r="D481" i="31"/>
  <c r="D484" i="31"/>
  <c r="D478" i="31"/>
  <c r="D475" i="31"/>
  <c r="D472" i="31"/>
  <c r="D502" i="31"/>
  <c r="D97" i="31"/>
  <c r="D67" i="31"/>
  <c r="D533" i="31"/>
  <c r="E534" i="31"/>
  <c r="E533" i="31"/>
  <c r="D528" i="31"/>
  <c r="D525" i="31"/>
  <c r="D519" i="31"/>
  <c r="D516" i="31"/>
  <c r="D514" i="31"/>
  <c r="D513" i="31"/>
  <c r="D511" i="31"/>
  <c r="D510" i="31"/>
  <c r="D508" i="31"/>
  <c r="D507" i="31"/>
  <c r="D501" i="31"/>
  <c r="D495" i="31"/>
  <c r="D493" i="31"/>
  <c r="D492" i="31"/>
  <c r="D490" i="31"/>
  <c r="D489" i="31"/>
  <c r="D483" i="31"/>
  <c r="D480" i="31"/>
  <c r="D477" i="31"/>
  <c r="D474" i="31"/>
  <c r="D471" i="31"/>
  <c r="D468" i="31"/>
  <c r="D465" i="31"/>
  <c r="D453" i="31"/>
  <c r="D441" i="31"/>
  <c r="D429" i="31"/>
  <c r="D426" i="31"/>
  <c r="D420" i="31"/>
  <c r="D417" i="31"/>
  <c r="D415" i="31"/>
  <c r="D414" i="31"/>
  <c r="D412" i="31"/>
  <c r="D411" i="31"/>
  <c r="D409" i="31"/>
  <c r="F409" i="31"/>
  <c r="D408" i="31"/>
  <c r="F408" i="31"/>
  <c r="D405" i="31"/>
  <c r="D399" i="31"/>
  <c r="D393" i="31"/>
  <c r="D390" i="31"/>
  <c r="D387" i="31"/>
  <c r="D384" i="31"/>
  <c r="F384" i="31"/>
  <c r="D381" i="31"/>
  <c r="D375" i="31"/>
  <c r="D363" i="31"/>
  <c r="D351" i="31"/>
  <c r="D348" i="31"/>
  <c r="D345" i="31"/>
  <c r="D342" i="31"/>
  <c r="D339" i="31"/>
  <c r="D333" i="31"/>
  <c r="D330" i="31"/>
  <c r="D327" i="31"/>
  <c r="D324" i="31"/>
  <c r="D321" i="31"/>
  <c r="D318" i="31"/>
  <c r="F318" i="31"/>
  <c r="D312" i="31"/>
  <c r="D309" i="31"/>
  <c r="D306" i="31"/>
  <c r="D303" i="31"/>
  <c r="D300" i="31"/>
  <c r="D297" i="31"/>
  <c r="D294" i="31"/>
  <c r="D291" i="31"/>
  <c r="D288" i="31"/>
  <c r="D285" i="31"/>
  <c r="D279" i="31"/>
  <c r="D276" i="31"/>
  <c r="D273" i="31"/>
  <c r="D270" i="31"/>
  <c r="D267" i="31"/>
  <c r="D264" i="31"/>
  <c r="D261" i="31"/>
  <c r="D258" i="31"/>
  <c r="D255" i="31"/>
  <c r="D252" i="31"/>
  <c r="D249" i="31"/>
  <c r="D246" i="31"/>
  <c r="D243" i="31"/>
  <c r="D240" i="31"/>
  <c r="D237" i="31"/>
  <c r="D234" i="31"/>
  <c r="D231" i="31"/>
  <c r="D228" i="31"/>
  <c r="D225" i="31"/>
  <c r="D222" i="31"/>
  <c r="D219" i="31"/>
  <c r="D216" i="31"/>
  <c r="D213" i="31"/>
  <c r="D204" i="31"/>
  <c r="D201" i="31"/>
  <c r="D198" i="31"/>
  <c r="D195" i="31"/>
  <c r="D192" i="31"/>
  <c r="D189" i="31"/>
  <c r="D186" i="31"/>
  <c r="D183" i="31"/>
  <c r="D180" i="31"/>
  <c r="D177" i="31"/>
  <c r="D174" i="31"/>
  <c r="D171" i="31"/>
  <c r="D168" i="31"/>
  <c r="D165" i="31"/>
  <c r="D159" i="31"/>
  <c r="D156" i="31"/>
  <c r="D153" i="31"/>
  <c r="D150" i="31"/>
  <c r="D147" i="31"/>
  <c r="D144" i="31"/>
  <c r="D141" i="31"/>
  <c r="D138" i="31"/>
  <c r="D135" i="31"/>
  <c r="D129" i="31"/>
  <c r="D126" i="31"/>
  <c r="D123" i="31"/>
  <c r="D120" i="31"/>
  <c r="D117" i="31"/>
  <c r="D114" i="31"/>
  <c r="D111" i="31"/>
  <c r="D109" i="31"/>
  <c r="D108" i="31"/>
  <c r="D106" i="31"/>
  <c r="D105" i="31"/>
  <c r="D103" i="31"/>
  <c r="D102" i="31"/>
  <c r="F102" i="31"/>
  <c r="D100" i="31"/>
  <c r="D99" i="31"/>
  <c r="D96" i="31"/>
  <c r="D93" i="31"/>
  <c r="D90" i="31"/>
  <c r="D87" i="31"/>
  <c r="D84" i="31"/>
  <c r="D81" i="31"/>
  <c r="D78" i="31"/>
  <c r="D75" i="31"/>
  <c r="D72" i="31"/>
  <c r="D69" i="31"/>
  <c r="D66" i="31"/>
  <c r="F27" i="31"/>
  <c r="E534" i="37"/>
  <c r="D17" i="37"/>
  <c r="D20" i="37"/>
  <c r="D19" i="37"/>
  <c r="D23" i="37"/>
  <c r="D21" i="37"/>
  <c r="D13" i="37"/>
  <c r="D12" i="37"/>
  <c r="D15" i="37"/>
  <c r="D11" i="37"/>
  <c r="D10" i="37"/>
  <c r="D31" i="37"/>
  <c r="D28" i="37"/>
  <c r="D37" i="37"/>
  <c r="D27" i="37"/>
  <c r="D42" i="37"/>
  <c r="D44" i="37"/>
  <c r="D41" i="37"/>
  <c r="D57" i="37"/>
  <c r="D55" i="37"/>
  <c r="D47" i="37"/>
  <c r="D61" i="37"/>
  <c r="D53" i="37"/>
  <c r="D51" i="37"/>
  <c r="D60" i="37"/>
  <c r="D59" i="37"/>
  <c r="D46" i="37"/>
  <c r="D26" i="37"/>
  <c r="D9" i="37"/>
  <c r="D115" i="37"/>
  <c r="D160" i="37"/>
  <c r="D148" i="37"/>
  <c r="D142" i="37"/>
  <c r="D112" i="37"/>
  <c r="D73" i="37"/>
  <c r="D184" i="37"/>
  <c r="D205" i="37"/>
  <c r="D178" i="37"/>
  <c r="D214" i="37"/>
  <c r="D220" i="37"/>
  <c r="D235" i="37"/>
  <c r="D247" i="37"/>
  <c r="D262" i="37"/>
  <c r="D271" i="37"/>
  <c r="D280" i="37"/>
  <c r="D289" i="37"/>
  <c r="D175" i="37"/>
  <c r="D421" i="37"/>
  <c r="D418" i="37"/>
  <c r="D496" i="37"/>
  <c r="D76" i="37"/>
  <c r="D520" i="37"/>
  <c r="D517" i="37"/>
  <c r="D79" i="37"/>
  <c r="D313" i="37"/>
  <c r="D310" i="37"/>
  <c r="D82" i="37"/>
  <c r="D322" i="37"/>
  <c r="D343" i="37"/>
  <c r="D364" i="37"/>
  <c r="D334" i="37"/>
  <c r="D352" i="37"/>
  <c r="D319" i="37"/>
  <c r="D430" i="37"/>
  <c r="D451" i="37"/>
  <c r="D442" i="37"/>
  <c r="D427" i="37"/>
  <c r="D529" i="37"/>
  <c r="D526" i="37"/>
  <c r="D85" i="37"/>
  <c r="D376" i="37"/>
  <c r="D88" i="37"/>
  <c r="D454" i="37"/>
  <c r="D91" i="37"/>
  <c r="D466" i="37"/>
  <c r="D94" i="37"/>
  <c r="D70" i="37"/>
  <c r="D394" i="37"/>
  <c r="D391" i="37"/>
  <c r="D388" i="37"/>
  <c r="D385" i="37"/>
  <c r="D478" i="37"/>
  <c r="D475" i="37"/>
  <c r="D472" i="37"/>
  <c r="D502" i="37"/>
  <c r="D97" i="37"/>
  <c r="D67" i="37"/>
  <c r="D534" i="37"/>
  <c r="G534" i="37"/>
  <c r="H534" i="37"/>
  <c r="E532" i="37"/>
  <c r="G532" i="37"/>
  <c r="H532" i="37"/>
  <c r="E531" i="37"/>
  <c r="G531" i="37"/>
  <c r="H531" i="37"/>
  <c r="G530" i="37"/>
  <c r="H530" i="37"/>
  <c r="E529" i="37"/>
  <c r="G529" i="37"/>
  <c r="H529" i="37"/>
  <c r="E528" i="37"/>
  <c r="D528" i="37"/>
  <c r="G528" i="37"/>
  <c r="H528" i="37"/>
  <c r="G527" i="37"/>
  <c r="H527" i="37"/>
  <c r="E526" i="37"/>
  <c r="G526" i="37"/>
  <c r="H526" i="37"/>
  <c r="E525" i="37"/>
  <c r="D525" i="37"/>
  <c r="G525" i="37"/>
  <c r="H525" i="37"/>
  <c r="G524" i="37"/>
  <c r="H524" i="37"/>
  <c r="E523" i="37"/>
  <c r="G523" i="37"/>
  <c r="H523" i="37"/>
  <c r="E522" i="37"/>
  <c r="G522" i="37"/>
  <c r="H522" i="37"/>
  <c r="G521" i="37"/>
  <c r="H521" i="37"/>
  <c r="E520" i="37"/>
  <c r="G520" i="37"/>
  <c r="H520" i="37"/>
  <c r="E519" i="37"/>
  <c r="D519" i="37"/>
  <c r="G519" i="37"/>
  <c r="H519" i="37"/>
  <c r="G518" i="37"/>
  <c r="H518" i="37"/>
  <c r="E517" i="37"/>
  <c r="G517" i="37"/>
  <c r="H517" i="37"/>
  <c r="E516" i="37"/>
  <c r="D516" i="37"/>
  <c r="G516" i="37"/>
  <c r="H516" i="37"/>
  <c r="G515" i="37"/>
  <c r="H515" i="37"/>
  <c r="E514" i="37"/>
  <c r="D514" i="37"/>
  <c r="G514" i="37"/>
  <c r="H514" i="37"/>
  <c r="E513" i="37"/>
  <c r="D513" i="37"/>
  <c r="G513" i="37"/>
  <c r="H513" i="37"/>
  <c r="G512" i="37"/>
  <c r="H512" i="37"/>
  <c r="E511" i="37"/>
  <c r="D511" i="37"/>
  <c r="G511" i="37"/>
  <c r="H511" i="37"/>
  <c r="E510" i="37"/>
  <c r="D510" i="37"/>
  <c r="G510" i="37"/>
  <c r="H510" i="37"/>
  <c r="G509" i="37"/>
  <c r="H509" i="37"/>
  <c r="E508" i="37"/>
  <c r="D508" i="37"/>
  <c r="G508" i="37"/>
  <c r="H508" i="37"/>
  <c r="E507" i="37"/>
  <c r="D507" i="37"/>
  <c r="G507" i="37"/>
  <c r="H507" i="37"/>
  <c r="G506" i="37"/>
  <c r="H506" i="37"/>
  <c r="E505" i="37"/>
  <c r="G505" i="37"/>
  <c r="H505" i="37"/>
  <c r="E504" i="37"/>
  <c r="G504" i="37"/>
  <c r="H504" i="37"/>
  <c r="G503" i="37"/>
  <c r="H503" i="37"/>
  <c r="E502" i="37"/>
  <c r="G502" i="37"/>
  <c r="H502" i="37"/>
  <c r="E501" i="37"/>
  <c r="D501" i="37"/>
  <c r="G501" i="37"/>
  <c r="H501" i="37"/>
  <c r="G500" i="37"/>
  <c r="H500" i="37"/>
  <c r="E499" i="37"/>
  <c r="G499" i="37"/>
  <c r="H499" i="37"/>
  <c r="E498" i="37"/>
  <c r="G498" i="37"/>
  <c r="H498" i="37"/>
  <c r="G497" i="37"/>
  <c r="H497" i="37"/>
  <c r="E496" i="37"/>
  <c r="G496" i="37"/>
  <c r="H496" i="37"/>
  <c r="E495" i="37"/>
  <c r="D495" i="37"/>
  <c r="G495" i="37"/>
  <c r="H495" i="37"/>
  <c r="G494" i="37"/>
  <c r="H494" i="37"/>
  <c r="E493" i="37"/>
  <c r="D493" i="37"/>
  <c r="G493" i="37"/>
  <c r="H493" i="37"/>
  <c r="E492" i="37"/>
  <c r="D492" i="37"/>
  <c r="G492" i="37"/>
  <c r="H492" i="37"/>
  <c r="G491" i="37"/>
  <c r="H491" i="37"/>
  <c r="E490" i="37"/>
  <c r="D490" i="37"/>
  <c r="G490" i="37"/>
  <c r="H490" i="37"/>
  <c r="E489" i="37"/>
  <c r="D489" i="37"/>
  <c r="G489" i="37"/>
  <c r="H489" i="37"/>
  <c r="G488" i="37"/>
  <c r="H488" i="37"/>
  <c r="E487" i="37"/>
  <c r="E486" i="37"/>
  <c r="E484" i="37"/>
  <c r="G484" i="37"/>
  <c r="H484" i="37"/>
  <c r="E483" i="37"/>
  <c r="D483" i="37"/>
  <c r="G483" i="37"/>
  <c r="H483" i="37"/>
  <c r="G482" i="37"/>
  <c r="H482" i="37"/>
  <c r="E481" i="37"/>
  <c r="G481" i="37"/>
  <c r="H481" i="37"/>
  <c r="E480" i="37"/>
  <c r="G480" i="37"/>
  <c r="H480" i="37"/>
  <c r="G479" i="37"/>
  <c r="H479" i="37"/>
  <c r="E478" i="37"/>
  <c r="G478" i="37"/>
  <c r="H478" i="37"/>
  <c r="E477" i="37"/>
  <c r="D477" i="37"/>
  <c r="G477" i="37"/>
  <c r="H477" i="37"/>
  <c r="G476" i="37"/>
  <c r="H476" i="37"/>
  <c r="E475" i="37"/>
  <c r="G475" i="37"/>
  <c r="H475" i="37"/>
  <c r="E474" i="37"/>
  <c r="D474" i="37"/>
  <c r="G474" i="37"/>
  <c r="H474" i="37"/>
  <c r="G473" i="37"/>
  <c r="H473" i="37"/>
  <c r="E472" i="37"/>
  <c r="G472" i="37"/>
  <c r="H472" i="37"/>
  <c r="E471" i="37"/>
  <c r="D471" i="37"/>
  <c r="G471" i="37"/>
  <c r="H471" i="37"/>
  <c r="G470" i="37"/>
  <c r="H470" i="37"/>
  <c r="E469" i="37"/>
  <c r="G469" i="37"/>
  <c r="H469" i="37"/>
  <c r="E468" i="37"/>
  <c r="G468" i="37"/>
  <c r="H468" i="37"/>
  <c r="G467" i="37"/>
  <c r="H467" i="37"/>
  <c r="E466" i="37"/>
  <c r="G466" i="37"/>
  <c r="H466" i="37"/>
  <c r="E465" i="37"/>
  <c r="D465" i="37"/>
  <c r="G465" i="37"/>
  <c r="H465" i="37"/>
  <c r="G464" i="37"/>
  <c r="H464" i="37"/>
  <c r="E463" i="37"/>
  <c r="G463" i="37"/>
  <c r="H463" i="37"/>
  <c r="E462" i="37"/>
  <c r="G462" i="37"/>
  <c r="H462" i="37"/>
  <c r="G461" i="37"/>
  <c r="H461" i="37"/>
  <c r="E460" i="37"/>
  <c r="G460" i="37"/>
  <c r="H460" i="37"/>
  <c r="E459" i="37"/>
  <c r="G459" i="37"/>
  <c r="H459" i="37"/>
  <c r="G458" i="37"/>
  <c r="H458" i="37"/>
  <c r="E457" i="37"/>
  <c r="G457" i="37"/>
  <c r="H457" i="37"/>
  <c r="E456" i="37"/>
  <c r="G456" i="37"/>
  <c r="H456" i="37"/>
  <c r="G455" i="37"/>
  <c r="H455" i="37"/>
  <c r="E454" i="37"/>
  <c r="G454" i="37"/>
  <c r="H454" i="37"/>
  <c r="E453" i="37"/>
  <c r="D453" i="37"/>
  <c r="G453" i="37"/>
  <c r="H453" i="37"/>
  <c r="G452" i="37"/>
  <c r="H452" i="37"/>
  <c r="E451" i="37"/>
  <c r="G451" i="37"/>
  <c r="H451" i="37"/>
  <c r="E450" i="37"/>
  <c r="G450" i="37"/>
  <c r="H450" i="37"/>
  <c r="G449" i="37"/>
  <c r="H449" i="37"/>
  <c r="E448" i="37"/>
  <c r="G448" i="37"/>
  <c r="H448" i="37"/>
  <c r="E447" i="37"/>
  <c r="G447" i="37"/>
  <c r="H447" i="37"/>
  <c r="G446" i="37"/>
  <c r="H446" i="37"/>
  <c r="E445" i="37"/>
  <c r="G445" i="37"/>
  <c r="H445" i="37"/>
  <c r="E444" i="37"/>
  <c r="G444" i="37"/>
  <c r="H444" i="37"/>
  <c r="G443" i="37"/>
  <c r="H443" i="37"/>
  <c r="E442" i="37"/>
  <c r="G442" i="37"/>
  <c r="H442" i="37"/>
  <c r="E441" i="37"/>
  <c r="D441" i="37"/>
  <c r="G441" i="37"/>
  <c r="H441" i="37"/>
  <c r="G440" i="37"/>
  <c r="H440" i="37"/>
  <c r="G439" i="37"/>
  <c r="H439" i="37"/>
  <c r="G438" i="37"/>
  <c r="H438" i="37"/>
  <c r="G437" i="37"/>
  <c r="H437" i="37"/>
  <c r="E436" i="37"/>
  <c r="G436" i="37"/>
  <c r="H436" i="37"/>
  <c r="E435" i="37"/>
  <c r="D435" i="37"/>
  <c r="G435" i="37"/>
  <c r="H435" i="37"/>
  <c r="G434" i="37"/>
  <c r="H434" i="37"/>
  <c r="E433" i="37"/>
  <c r="G433" i="37"/>
  <c r="H433" i="37"/>
  <c r="E432" i="37"/>
  <c r="D432" i="37"/>
  <c r="G432" i="37"/>
  <c r="H432" i="37"/>
  <c r="G431" i="37"/>
  <c r="H431" i="37"/>
  <c r="E430" i="37"/>
  <c r="G430" i="37"/>
  <c r="H430" i="37"/>
  <c r="E429" i="37"/>
  <c r="D429" i="37"/>
  <c r="G429" i="37"/>
  <c r="H429" i="37"/>
  <c r="G428" i="37"/>
  <c r="H428" i="37"/>
  <c r="E427" i="37"/>
  <c r="G427" i="37"/>
  <c r="H427" i="37"/>
  <c r="E426" i="37"/>
  <c r="D426" i="37"/>
  <c r="G426" i="37"/>
  <c r="H426" i="37"/>
  <c r="G425" i="37"/>
  <c r="H425" i="37"/>
  <c r="E424" i="37"/>
  <c r="G424" i="37"/>
  <c r="H424" i="37"/>
  <c r="E423" i="37"/>
  <c r="G423" i="37"/>
  <c r="H423" i="37"/>
  <c r="G422" i="37"/>
  <c r="H422" i="37"/>
  <c r="E421" i="37"/>
  <c r="G421" i="37"/>
  <c r="H421" i="37"/>
  <c r="E420" i="37"/>
  <c r="D420" i="37"/>
  <c r="G420" i="37"/>
  <c r="H420" i="37"/>
  <c r="G419" i="37"/>
  <c r="H419" i="37"/>
  <c r="E418" i="37"/>
  <c r="G418" i="37"/>
  <c r="H418" i="37"/>
  <c r="E417" i="37"/>
  <c r="D417" i="37"/>
  <c r="G417" i="37"/>
  <c r="H417" i="37"/>
  <c r="G416" i="37"/>
  <c r="H416" i="37"/>
  <c r="E415" i="37"/>
  <c r="D415" i="37"/>
  <c r="G415" i="37"/>
  <c r="H415" i="37"/>
  <c r="E414" i="37"/>
  <c r="D414" i="37"/>
  <c r="G414" i="37"/>
  <c r="H414" i="37"/>
  <c r="G413" i="37"/>
  <c r="H413" i="37"/>
  <c r="E412" i="37"/>
  <c r="D412" i="37"/>
  <c r="G412" i="37"/>
  <c r="H412" i="37"/>
  <c r="E411" i="37"/>
  <c r="D411" i="37"/>
  <c r="G411" i="37"/>
  <c r="H411" i="37"/>
  <c r="G410" i="37"/>
  <c r="H410" i="37"/>
  <c r="E409" i="37"/>
  <c r="D409" i="37"/>
  <c r="G409" i="37"/>
  <c r="H409" i="37"/>
  <c r="E408" i="37"/>
  <c r="D408" i="37"/>
  <c r="G408" i="37"/>
  <c r="H408" i="37"/>
  <c r="G407" i="37"/>
  <c r="H407" i="37"/>
  <c r="E406" i="37"/>
  <c r="G406" i="37"/>
  <c r="H406" i="37"/>
  <c r="E405" i="37"/>
  <c r="G405" i="37"/>
  <c r="H405" i="37"/>
  <c r="G404" i="37"/>
  <c r="H404" i="37"/>
  <c r="E403" i="37"/>
  <c r="G403" i="37"/>
  <c r="H403" i="37"/>
  <c r="E402" i="37"/>
  <c r="G402" i="37"/>
  <c r="H402" i="37"/>
  <c r="G401" i="37"/>
  <c r="H401" i="37"/>
  <c r="E400" i="37"/>
  <c r="G400" i="37"/>
  <c r="H400" i="37"/>
  <c r="E399" i="37"/>
  <c r="G399" i="37"/>
  <c r="H399" i="37"/>
  <c r="G398" i="37"/>
  <c r="H398" i="37"/>
  <c r="E397" i="37"/>
  <c r="G397" i="37"/>
  <c r="H397" i="37"/>
  <c r="E396" i="37"/>
  <c r="G396" i="37"/>
  <c r="H396" i="37"/>
  <c r="G395" i="37"/>
  <c r="H395" i="37"/>
  <c r="E394" i="37"/>
  <c r="G394" i="37"/>
  <c r="H394" i="37"/>
  <c r="E393" i="37"/>
  <c r="G393" i="37"/>
  <c r="H393" i="37"/>
  <c r="G392" i="37"/>
  <c r="H392" i="37"/>
  <c r="E391" i="37"/>
  <c r="G391" i="37"/>
  <c r="H391" i="37"/>
  <c r="E390" i="37"/>
  <c r="D390" i="37"/>
  <c r="G390" i="37"/>
  <c r="H390" i="37"/>
  <c r="G389" i="37"/>
  <c r="H389" i="37"/>
  <c r="E388" i="37"/>
  <c r="G388" i="37"/>
  <c r="H388" i="37"/>
  <c r="E387" i="37"/>
  <c r="D387" i="37"/>
  <c r="G387" i="37"/>
  <c r="H387" i="37"/>
  <c r="G386" i="37"/>
  <c r="H386" i="37"/>
  <c r="E385" i="37"/>
  <c r="G385" i="37"/>
  <c r="H385" i="37"/>
  <c r="E384" i="37"/>
  <c r="D384" i="37"/>
  <c r="G384" i="37"/>
  <c r="H384" i="37"/>
  <c r="G383" i="37"/>
  <c r="H383" i="37"/>
  <c r="E382" i="37"/>
  <c r="G382" i="37"/>
  <c r="H382" i="37"/>
  <c r="E381" i="37"/>
  <c r="G381" i="37"/>
  <c r="H381" i="37"/>
  <c r="G380" i="37"/>
  <c r="H380" i="37"/>
  <c r="E379" i="37"/>
  <c r="G379" i="37"/>
  <c r="H379" i="37"/>
  <c r="E378" i="37"/>
  <c r="G378" i="37"/>
  <c r="H378" i="37"/>
  <c r="G377" i="37"/>
  <c r="H377" i="37"/>
  <c r="E376" i="37"/>
  <c r="G376" i="37"/>
  <c r="H376" i="37"/>
  <c r="E375" i="37"/>
  <c r="D375" i="37"/>
  <c r="G375" i="37"/>
  <c r="H375" i="37"/>
  <c r="G374" i="37"/>
  <c r="H374" i="37"/>
  <c r="G373" i="37"/>
  <c r="H373" i="37"/>
  <c r="G372" i="37"/>
  <c r="H372" i="37"/>
  <c r="G371" i="37"/>
  <c r="H371" i="37"/>
  <c r="E370" i="37"/>
  <c r="G370" i="37"/>
  <c r="H370" i="37"/>
  <c r="E369" i="37"/>
  <c r="G369" i="37"/>
  <c r="H369" i="37"/>
  <c r="G368" i="37"/>
  <c r="H368" i="37"/>
  <c r="E367" i="37"/>
  <c r="G367" i="37"/>
  <c r="H367" i="37"/>
  <c r="E366" i="37"/>
  <c r="G366" i="37"/>
  <c r="H366" i="37"/>
  <c r="G365" i="37"/>
  <c r="H365" i="37"/>
  <c r="E364" i="37"/>
  <c r="G364" i="37"/>
  <c r="H364" i="37"/>
  <c r="E363" i="37"/>
  <c r="D363" i="37"/>
  <c r="G363" i="37"/>
  <c r="H363" i="37"/>
  <c r="G362" i="37"/>
  <c r="H362" i="37"/>
  <c r="E361" i="37"/>
  <c r="G361" i="37"/>
  <c r="H361" i="37"/>
  <c r="E360" i="37"/>
  <c r="G360" i="37"/>
  <c r="H360" i="37"/>
  <c r="G359" i="37"/>
  <c r="H359" i="37"/>
  <c r="E358" i="37"/>
  <c r="G358" i="37"/>
  <c r="H358" i="37"/>
  <c r="E357" i="37"/>
  <c r="G357" i="37"/>
  <c r="H357" i="37"/>
  <c r="G356" i="37"/>
  <c r="H356" i="37"/>
  <c r="E355" i="37"/>
  <c r="G355" i="37"/>
  <c r="H355" i="37"/>
  <c r="E354" i="37"/>
  <c r="G354" i="37"/>
  <c r="H354" i="37"/>
  <c r="G353" i="37"/>
  <c r="H353" i="37"/>
  <c r="E352" i="37"/>
  <c r="G352" i="37"/>
  <c r="H352" i="37"/>
  <c r="E351" i="37"/>
  <c r="D351" i="37"/>
  <c r="G351" i="37"/>
  <c r="H351" i="37"/>
  <c r="G350" i="37"/>
  <c r="H350" i="37"/>
  <c r="E349" i="37"/>
  <c r="G349" i="37"/>
  <c r="H349" i="37"/>
  <c r="E348" i="37"/>
  <c r="D348" i="37"/>
  <c r="G348" i="37"/>
  <c r="H348" i="37"/>
  <c r="G347" i="37"/>
  <c r="H347" i="37"/>
  <c r="E346" i="37"/>
  <c r="G346" i="37"/>
  <c r="H346" i="37"/>
  <c r="E345" i="37"/>
  <c r="G345" i="37"/>
  <c r="H345" i="37"/>
  <c r="G344" i="37"/>
  <c r="H344" i="37"/>
  <c r="E343" i="37"/>
  <c r="G343" i="37"/>
  <c r="H343" i="37"/>
  <c r="E342" i="37"/>
  <c r="D342" i="37"/>
  <c r="G342" i="37"/>
  <c r="H342" i="37"/>
  <c r="G341" i="37"/>
  <c r="H341" i="37"/>
  <c r="E340" i="37"/>
  <c r="G340" i="37"/>
  <c r="H340" i="37"/>
  <c r="E339" i="37"/>
  <c r="G339" i="37"/>
  <c r="H339" i="37"/>
  <c r="G338" i="37"/>
  <c r="H338" i="37"/>
  <c r="G337" i="37"/>
  <c r="H337" i="37"/>
  <c r="G336" i="37"/>
  <c r="H336" i="37"/>
  <c r="G335" i="37"/>
  <c r="H335" i="37"/>
  <c r="E334" i="37"/>
  <c r="G334" i="37"/>
  <c r="H334" i="37"/>
  <c r="E333" i="37"/>
  <c r="D333" i="37"/>
  <c r="G333" i="37"/>
  <c r="H333" i="37"/>
  <c r="G332" i="37"/>
  <c r="H332" i="37"/>
  <c r="E331" i="37"/>
  <c r="G331" i="37"/>
  <c r="H331" i="37"/>
  <c r="E330" i="37"/>
  <c r="G330" i="37"/>
  <c r="H330" i="37"/>
  <c r="G329" i="37"/>
  <c r="H329" i="37"/>
  <c r="E328" i="37"/>
  <c r="G328" i="37"/>
  <c r="H328" i="37"/>
  <c r="E327" i="37"/>
  <c r="G327" i="37"/>
  <c r="H327" i="37"/>
  <c r="G326" i="37"/>
  <c r="H326" i="37"/>
  <c r="E325" i="37"/>
  <c r="G325" i="37"/>
  <c r="H325" i="37"/>
  <c r="E324" i="37"/>
  <c r="G324" i="37"/>
  <c r="H324" i="37"/>
  <c r="G323" i="37"/>
  <c r="H323" i="37"/>
  <c r="E322" i="37"/>
  <c r="G322" i="37"/>
  <c r="H322" i="37"/>
  <c r="E321" i="37"/>
  <c r="D321" i="37"/>
  <c r="G321" i="37"/>
  <c r="H321" i="37"/>
  <c r="G320" i="37"/>
  <c r="H320" i="37"/>
  <c r="E319" i="37"/>
  <c r="G319" i="37"/>
  <c r="H319" i="37"/>
  <c r="E318" i="37"/>
  <c r="D318" i="37"/>
  <c r="G318" i="37"/>
  <c r="H318" i="37"/>
  <c r="G317" i="37"/>
  <c r="H317" i="37"/>
  <c r="E316" i="37"/>
  <c r="G316" i="37"/>
  <c r="H316" i="37"/>
  <c r="E315" i="37"/>
  <c r="G315" i="37"/>
  <c r="H315" i="37"/>
  <c r="G314" i="37"/>
  <c r="H314" i="37"/>
  <c r="E313" i="37"/>
  <c r="G313" i="37"/>
  <c r="H313" i="37"/>
  <c r="E312" i="37"/>
  <c r="D312" i="37"/>
  <c r="G312" i="37"/>
  <c r="H312" i="37"/>
  <c r="G311" i="37"/>
  <c r="H311" i="37"/>
  <c r="E310" i="37"/>
  <c r="G310" i="37"/>
  <c r="H310" i="37"/>
  <c r="E309" i="37"/>
  <c r="D309" i="37"/>
  <c r="G309" i="37"/>
  <c r="H309" i="37"/>
  <c r="G308" i="37"/>
  <c r="H308" i="37"/>
  <c r="E307" i="37"/>
  <c r="G307" i="37"/>
  <c r="H307" i="37"/>
  <c r="E306" i="37"/>
  <c r="G306" i="37"/>
  <c r="H306" i="37"/>
  <c r="G305" i="37"/>
  <c r="H305" i="37"/>
  <c r="E304" i="37"/>
  <c r="G304" i="37"/>
  <c r="H304" i="37"/>
  <c r="E303" i="37"/>
  <c r="G303" i="37"/>
  <c r="H303" i="37"/>
  <c r="G302" i="37"/>
  <c r="H302" i="37"/>
  <c r="E301" i="37"/>
  <c r="G301" i="37"/>
  <c r="H301" i="37"/>
  <c r="E300" i="37"/>
  <c r="G300" i="37"/>
  <c r="H300" i="37"/>
  <c r="G299" i="37"/>
  <c r="H299" i="37"/>
  <c r="E298" i="37"/>
  <c r="G298" i="37"/>
  <c r="H298" i="37"/>
  <c r="E297" i="37"/>
  <c r="G297" i="37"/>
  <c r="H297" i="37"/>
  <c r="G296" i="37"/>
  <c r="H296" i="37"/>
  <c r="E295" i="37"/>
  <c r="G295" i="37"/>
  <c r="H295" i="37"/>
  <c r="E294" i="37"/>
  <c r="G294" i="37"/>
  <c r="H294" i="37"/>
  <c r="G293" i="37"/>
  <c r="H293" i="37"/>
  <c r="E292" i="37"/>
  <c r="G292" i="37"/>
  <c r="H292" i="37"/>
  <c r="E291" i="37"/>
  <c r="G291" i="37"/>
  <c r="H291" i="37"/>
  <c r="G290" i="37"/>
  <c r="H290" i="37"/>
  <c r="E289" i="37"/>
  <c r="G289" i="37"/>
  <c r="H289" i="37"/>
  <c r="E288" i="37"/>
  <c r="D288" i="37"/>
  <c r="G288" i="37"/>
  <c r="H288" i="37"/>
  <c r="G287" i="37"/>
  <c r="H287" i="37"/>
  <c r="E286" i="37"/>
  <c r="G286" i="37"/>
  <c r="H286" i="37"/>
  <c r="E285" i="37"/>
  <c r="G285" i="37"/>
  <c r="H285" i="37"/>
  <c r="G284" i="37"/>
  <c r="H284" i="37"/>
  <c r="G283" i="37"/>
  <c r="H283" i="37"/>
  <c r="G282" i="37"/>
  <c r="H282" i="37"/>
  <c r="G281" i="37"/>
  <c r="H281" i="37"/>
  <c r="E280" i="37"/>
  <c r="G280" i="37"/>
  <c r="H280" i="37"/>
  <c r="E279" i="37"/>
  <c r="D279" i="37"/>
  <c r="G279" i="37"/>
  <c r="H279" i="37"/>
  <c r="G278" i="37"/>
  <c r="H278" i="37"/>
  <c r="E277" i="37"/>
  <c r="G277" i="37"/>
  <c r="H277" i="37"/>
  <c r="E276" i="37"/>
  <c r="G276" i="37"/>
  <c r="H276" i="37"/>
  <c r="G275" i="37"/>
  <c r="H275" i="37"/>
  <c r="E274" i="37"/>
  <c r="G274" i="37"/>
  <c r="H274" i="37"/>
  <c r="E273" i="37"/>
  <c r="D273" i="37"/>
  <c r="G273" i="37"/>
  <c r="H273" i="37"/>
  <c r="G272" i="37"/>
  <c r="H272" i="37"/>
  <c r="E271" i="37"/>
  <c r="G271" i="37"/>
  <c r="H271" i="37"/>
  <c r="E270" i="37"/>
  <c r="D270" i="37"/>
  <c r="G270" i="37"/>
  <c r="H270" i="37"/>
  <c r="G269" i="37"/>
  <c r="H269" i="37"/>
  <c r="E268" i="37"/>
  <c r="G268" i="37"/>
  <c r="H268" i="37"/>
  <c r="E267" i="37"/>
  <c r="D267" i="37"/>
  <c r="G267" i="37"/>
  <c r="H267" i="37"/>
  <c r="G266" i="37"/>
  <c r="H266" i="37"/>
  <c r="E265" i="37"/>
  <c r="G265" i="37"/>
  <c r="H265" i="37"/>
  <c r="E264" i="37"/>
  <c r="G264" i="37"/>
  <c r="H264" i="37"/>
  <c r="G263" i="37"/>
  <c r="H263" i="37"/>
  <c r="E262" i="37"/>
  <c r="G262" i="37"/>
  <c r="H262" i="37"/>
  <c r="E261" i="37"/>
  <c r="D261" i="37"/>
  <c r="G261" i="37"/>
  <c r="H261" i="37"/>
  <c r="G260" i="37"/>
  <c r="H260" i="37"/>
  <c r="E259" i="37"/>
  <c r="G259" i="37"/>
  <c r="H259" i="37"/>
  <c r="E258" i="37"/>
  <c r="G258" i="37"/>
  <c r="H258" i="37"/>
  <c r="G257" i="37"/>
  <c r="H257" i="37"/>
  <c r="E256" i="37"/>
  <c r="G256" i="37"/>
  <c r="H256" i="37"/>
  <c r="E255" i="37"/>
  <c r="G255" i="37"/>
  <c r="H255" i="37"/>
  <c r="G254" i="37"/>
  <c r="H254" i="37"/>
  <c r="E253" i="37"/>
  <c r="G253" i="37"/>
  <c r="H253" i="37"/>
  <c r="E252" i="37"/>
  <c r="G252" i="37"/>
  <c r="H252" i="37"/>
  <c r="G251" i="37"/>
  <c r="H251" i="37"/>
  <c r="E250" i="37"/>
  <c r="G250" i="37"/>
  <c r="H250" i="37"/>
  <c r="E249" i="37"/>
  <c r="G249" i="37"/>
  <c r="H249" i="37"/>
  <c r="G248" i="37"/>
  <c r="H248" i="37"/>
  <c r="E247" i="37"/>
  <c r="G247" i="37"/>
  <c r="H247" i="37"/>
  <c r="E246" i="37"/>
  <c r="D246" i="37"/>
  <c r="G246" i="37"/>
  <c r="H246" i="37"/>
  <c r="G245" i="37"/>
  <c r="H245" i="37"/>
  <c r="E244" i="37"/>
  <c r="G244" i="37"/>
  <c r="H244" i="37"/>
  <c r="E243" i="37"/>
  <c r="G243" i="37"/>
  <c r="H243" i="37"/>
  <c r="G242" i="37"/>
  <c r="H242" i="37"/>
  <c r="E241" i="37"/>
  <c r="G241" i="37"/>
  <c r="H241" i="37"/>
  <c r="E240" i="37"/>
  <c r="D240" i="37"/>
  <c r="G240" i="37"/>
  <c r="H240" i="37"/>
  <c r="G239" i="37"/>
  <c r="H239" i="37"/>
  <c r="E238" i="37"/>
  <c r="G238" i="37"/>
  <c r="H238" i="37"/>
  <c r="E237" i="37"/>
  <c r="G237" i="37"/>
  <c r="H237" i="37"/>
  <c r="G236" i="37"/>
  <c r="H236" i="37"/>
  <c r="E235" i="37"/>
  <c r="G235" i="37"/>
  <c r="H235" i="37"/>
  <c r="E234" i="37"/>
  <c r="D234" i="37"/>
  <c r="G234" i="37"/>
  <c r="H234" i="37"/>
  <c r="G233" i="37"/>
  <c r="H233" i="37"/>
  <c r="E232" i="37"/>
  <c r="G232" i="37"/>
  <c r="H232" i="37"/>
  <c r="E231" i="37"/>
  <c r="G231" i="37"/>
  <c r="H231" i="37"/>
  <c r="G230" i="37"/>
  <c r="H230" i="37"/>
  <c r="E229" i="37"/>
  <c r="G229" i="37"/>
  <c r="H229" i="37"/>
  <c r="E228" i="37"/>
  <c r="G228" i="37"/>
  <c r="H228" i="37"/>
  <c r="G227" i="37"/>
  <c r="H227" i="37"/>
  <c r="E226" i="37"/>
  <c r="G226" i="37"/>
  <c r="H226" i="37"/>
  <c r="E225" i="37"/>
  <c r="G225" i="37"/>
  <c r="H225" i="37"/>
  <c r="G224" i="37"/>
  <c r="H224" i="37"/>
  <c r="E223" i="37"/>
  <c r="G223" i="37"/>
  <c r="H223" i="37"/>
  <c r="E222" i="37"/>
  <c r="G222" i="37"/>
  <c r="H222" i="37"/>
  <c r="G221" i="37"/>
  <c r="H221" i="37"/>
  <c r="E220" i="37"/>
  <c r="G220" i="37"/>
  <c r="H220" i="37"/>
  <c r="E219" i="37"/>
  <c r="D219" i="37"/>
  <c r="G219" i="37"/>
  <c r="H219" i="37"/>
  <c r="G218" i="37"/>
  <c r="H218" i="37"/>
  <c r="E217" i="37"/>
  <c r="G217" i="37"/>
  <c r="H217" i="37"/>
  <c r="E216" i="37"/>
  <c r="G216" i="37"/>
  <c r="H216" i="37"/>
  <c r="G215" i="37"/>
  <c r="H215" i="37"/>
  <c r="E214" i="37"/>
  <c r="G214" i="37"/>
  <c r="H214" i="37"/>
  <c r="E213" i="37"/>
  <c r="D213" i="37"/>
  <c r="G213" i="37"/>
  <c r="H213" i="37"/>
  <c r="G212" i="37"/>
  <c r="H212" i="37"/>
  <c r="E211" i="37"/>
  <c r="G211" i="37"/>
  <c r="H211" i="37"/>
  <c r="E210" i="37"/>
  <c r="G210" i="37"/>
  <c r="H210" i="37"/>
  <c r="G209" i="37"/>
  <c r="H209" i="37"/>
  <c r="E208" i="37"/>
  <c r="G208" i="37"/>
  <c r="H208" i="37"/>
  <c r="E207" i="37"/>
  <c r="G207" i="37"/>
  <c r="H207" i="37"/>
  <c r="G206" i="37"/>
  <c r="H206" i="37"/>
  <c r="E205" i="37"/>
  <c r="G205" i="37"/>
  <c r="H205" i="37"/>
  <c r="E204" i="37"/>
  <c r="G204" i="37"/>
  <c r="H204" i="37"/>
  <c r="G203" i="37"/>
  <c r="H203" i="37"/>
  <c r="E202" i="37"/>
  <c r="G202" i="37"/>
  <c r="H202" i="37"/>
  <c r="E201" i="37"/>
  <c r="G201" i="37"/>
  <c r="H201" i="37"/>
  <c r="G200" i="37"/>
  <c r="H200" i="37"/>
  <c r="E199" i="37"/>
  <c r="G199" i="37"/>
  <c r="H199" i="37"/>
  <c r="E198" i="37"/>
  <c r="G198" i="37"/>
  <c r="H198" i="37"/>
  <c r="G197" i="37"/>
  <c r="H197" i="37"/>
  <c r="E196" i="37"/>
  <c r="G196" i="37"/>
  <c r="H196" i="37"/>
  <c r="E195" i="37"/>
  <c r="G195" i="37"/>
  <c r="H195" i="37"/>
  <c r="G194" i="37"/>
  <c r="H194" i="37"/>
  <c r="E193" i="37"/>
  <c r="G193" i="37"/>
  <c r="H193" i="37"/>
  <c r="E192" i="37"/>
  <c r="G192" i="37"/>
  <c r="H192" i="37"/>
  <c r="G191" i="37"/>
  <c r="H191" i="37"/>
  <c r="E190" i="37"/>
  <c r="G190" i="37"/>
  <c r="H190" i="37"/>
  <c r="E189" i="37"/>
  <c r="G189" i="37"/>
  <c r="H189" i="37"/>
  <c r="G188" i="37"/>
  <c r="H188" i="37"/>
  <c r="E187" i="37"/>
  <c r="G187" i="37"/>
  <c r="H187" i="37"/>
  <c r="E186" i="37"/>
  <c r="G186" i="37"/>
  <c r="H186" i="37"/>
  <c r="G185" i="37"/>
  <c r="H185" i="37"/>
  <c r="E184" i="37"/>
  <c r="G184" i="37"/>
  <c r="H184" i="37"/>
  <c r="E183" i="37"/>
  <c r="G183" i="37"/>
  <c r="H183" i="37"/>
  <c r="G182" i="37"/>
  <c r="H182" i="37"/>
  <c r="E181" i="37"/>
  <c r="G181" i="37"/>
  <c r="H181" i="37"/>
  <c r="E180" i="37"/>
  <c r="G180" i="37"/>
  <c r="H180" i="37"/>
  <c r="G179" i="37"/>
  <c r="H179" i="37"/>
  <c r="E178" i="37"/>
  <c r="G178" i="37"/>
  <c r="H178" i="37"/>
  <c r="E177" i="37"/>
  <c r="D177" i="37"/>
  <c r="G177" i="37"/>
  <c r="H177" i="37"/>
  <c r="G176" i="37"/>
  <c r="H176" i="37"/>
  <c r="E175" i="37"/>
  <c r="G175" i="37"/>
  <c r="H175" i="37"/>
  <c r="E174" i="37"/>
  <c r="D174" i="37"/>
  <c r="G174" i="37"/>
  <c r="H174" i="37"/>
  <c r="G173" i="37"/>
  <c r="H173" i="37"/>
  <c r="E172" i="37"/>
  <c r="G172" i="37"/>
  <c r="H172" i="37"/>
  <c r="E171" i="37"/>
  <c r="G171" i="37"/>
  <c r="H171" i="37"/>
  <c r="G170" i="37"/>
  <c r="H170" i="37"/>
  <c r="E169" i="37"/>
  <c r="G169" i="37"/>
  <c r="H169" i="37"/>
  <c r="E168" i="37"/>
  <c r="G168" i="37"/>
  <c r="H168" i="37"/>
  <c r="G167" i="37"/>
  <c r="H167" i="37"/>
  <c r="E166" i="37"/>
  <c r="G166" i="37"/>
  <c r="H166" i="37"/>
  <c r="E165" i="37"/>
  <c r="D165" i="37"/>
  <c r="G165" i="37"/>
  <c r="H165" i="37"/>
  <c r="G164" i="37"/>
  <c r="H164" i="37"/>
  <c r="G163" i="37"/>
  <c r="H163" i="37"/>
  <c r="G162" i="37"/>
  <c r="H162" i="37"/>
  <c r="G161" i="37"/>
  <c r="H161" i="37"/>
  <c r="E160" i="37"/>
  <c r="G160" i="37"/>
  <c r="H160" i="37"/>
  <c r="E159" i="37"/>
  <c r="G159" i="37"/>
  <c r="H159" i="37"/>
  <c r="G158" i="37"/>
  <c r="H158" i="37"/>
  <c r="E157" i="37"/>
  <c r="G157" i="37"/>
  <c r="H157" i="37"/>
  <c r="E156" i="37"/>
  <c r="G156" i="37"/>
  <c r="H156" i="37"/>
  <c r="G155" i="37"/>
  <c r="H155" i="37"/>
  <c r="E154" i="37"/>
  <c r="G154" i="37"/>
  <c r="H154" i="37"/>
  <c r="E153" i="37"/>
  <c r="G153" i="37"/>
  <c r="H153" i="37"/>
  <c r="G152" i="37"/>
  <c r="H152" i="37"/>
  <c r="E151" i="37"/>
  <c r="G151" i="37"/>
  <c r="H151" i="37"/>
  <c r="E150" i="37"/>
  <c r="G150" i="37"/>
  <c r="H150" i="37"/>
  <c r="G149" i="37"/>
  <c r="H149" i="37"/>
  <c r="E148" i="37"/>
  <c r="G148" i="37"/>
  <c r="H148" i="37"/>
  <c r="E147" i="37"/>
  <c r="D147" i="37"/>
  <c r="G147" i="37"/>
  <c r="H147" i="37"/>
  <c r="G146" i="37"/>
  <c r="H146" i="37"/>
  <c r="E145" i="37"/>
  <c r="G145" i="37"/>
  <c r="H145" i="37"/>
  <c r="E144" i="37"/>
  <c r="G144" i="37"/>
  <c r="H144" i="37"/>
  <c r="G143" i="37"/>
  <c r="H143" i="37"/>
  <c r="E142" i="37"/>
  <c r="G142" i="37"/>
  <c r="H142" i="37"/>
  <c r="E141" i="37"/>
  <c r="D141" i="37"/>
  <c r="G141" i="37"/>
  <c r="H141" i="37"/>
  <c r="G140" i="37"/>
  <c r="H140" i="37"/>
  <c r="E139" i="37"/>
  <c r="G139" i="37"/>
  <c r="H139" i="37"/>
  <c r="E138" i="37"/>
  <c r="G138" i="37"/>
  <c r="H138" i="37"/>
  <c r="G137" i="37"/>
  <c r="H137" i="37"/>
  <c r="E136" i="37"/>
  <c r="G136" i="37"/>
  <c r="H136" i="37"/>
  <c r="E135" i="37"/>
  <c r="D135" i="37"/>
  <c r="G135" i="37"/>
  <c r="H135" i="37"/>
  <c r="G134" i="37"/>
  <c r="H134" i="37"/>
  <c r="G133" i="37"/>
  <c r="H133" i="37"/>
  <c r="G132" i="37"/>
  <c r="H132" i="37"/>
  <c r="G131" i="37"/>
  <c r="H131" i="37"/>
  <c r="E130" i="37"/>
  <c r="G130" i="37"/>
  <c r="H130" i="37"/>
  <c r="E129" i="37"/>
  <c r="G129" i="37"/>
  <c r="H129" i="37"/>
  <c r="G128" i="37"/>
  <c r="H128" i="37"/>
  <c r="E127" i="37"/>
  <c r="G127" i="37"/>
  <c r="H127" i="37"/>
  <c r="E126" i="37"/>
  <c r="G126" i="37"/>
  <c r="H126" i="37"/>
  <c r="G125" i="37"/>
  <c r="H125" i="37"/>
  <c r="E124" i="37"/>
  <c r="G124" i="37"/>
  <c r="H124" i="37"/>
  <c r="E123" i="37"/>
  <c r="G123" i="37"/>
  <c r="H123" i="37"/>
  <c r="G122" i="37"/>
  <c r="H122" i="37"/>
  <c r="E121" i="37"/>
  <c r="G121" i="37"/>
  <c r="H121" i="37"/>
  <c r="E120" i="37"/>
  <c r="G120" i="37"/>
  <c r="H120" i="37"/>
  <c r="G119" i="37"/>
  <c r="H119" i="37"/>
  <c r="E118" i="37"/>
  <c r="G118" i="37"/>
  <c r="H118" i="37"/>
  <c r="E117" i="37"/>
  <c r="G117" i="37"/>
  <c r="H117" i="37"/>
  <c r="G116" i="37"/>
  <c r="H116" i="37"/>
  <c r="E115" i="37"/>
  <c r="G115" i="37"/>
  <c r="H115" i="37"/>
  <c r="E114" i="37"/>
  <c r="D114" i="37"/>
  <c r="G114" i="37"/>
  <c r="H114" i="37"/>
  <c r="G113" i="37"/>
  <c r="H113" i="37"/>
  <c r="E112" i="37"/>
  <c r="G112" i="37"/>
  <c r="H112" i="37"/>
  <c r="E111" i="37"/>
  <c r="D111" i="37"/>
  <c r="G111" i="37"/>
  <c r="H111" i="37"/>
  <c r="G110" i="37"/>
  <c r="H110" i="37"/>
  <c r="E109" i="37"/>
  <c r="D109" i="37"/>
  <c r="G109" i="37"/>
  <c r="H109" i="37"/>
  <c r="E108" i="37"/>
  <c r="D108" i="37"/>
  <c r="G108" i="37"/>
  <c r="H108" i="37"/>
  <c r="G107" i="37"/>
  <c r="H107" i="37"/>
  <c r="E106" i="37"/>
  <c r="D106" i="37"/>
  <c r="G106" i="37"/>
  <c r="H106" i="37"/>
  <c r="E105" i="37"/>
  <c r="D105" i="37"/>
  <c r="G105" i="37"/>
  <c r="H105" i="37"/>
  <c r="G104" i="37"/>
  <c r="H104" i="37"/>
  <c r="E103" i="37"/>
  <c r="D103" i="37"/>
  <c r="G103" i="37"/>
  <c r="H103" i="37"/>
  <c r="E102" i="37"/>
  <c r="D102" i="37"/>
  <c r="G102" i="37"/>
  <c r="H102" i="37"/>
  <c r="G101" i="37"/>
  <c r="H101" i="37"/>
  <c r="E100" i="37"/>
  <c r="D100" i="37"/>
  <c r="G100" i="37"/>
  <c r="H100" i="37"/>
  <c r="E99" i="37"/>
  <c r="D99" i="37"/>
  <c r="G99" i="37"/>
  <c r="H99" i="37"/>
  <c r="G98" i="37"/>
  <c r="H98" i="37"/>
  <c r="E97" i="37"/>
  <c r="G97" i="37"/>
  <c r="H97" i="37"/>
  <c r="E96" i="37"/>
  <c r="D96" i="37"/>
  <c r="G96" i="37"/>
  <c r="H96" i="37"/>
  <c r="G95" i="37"/>
  <c r="H95" i="37"/>
  <c r="E94" i="37"/>
  <c r="G94" i="37"/>
  <c r="H94" i="37"/>
  <c r="E93" i="37"/>
  <c r="D93" i="37"/>
  <c r="G93" i="37"/>
  <c r="H93" i="37"/>
  <c r="G92" i="37"/>
  <c r="H92" i="37"/>
  <c r="E91" i="37"/>
  <c r="G91" i="37"/>
  <c r="H91" i="37"/>
  <c r="E90" i="37"/>
  <c r="D90" i="37"/>
  <c r="G90" i="37"/>
  <c r="H90" i="37"/>
  <c r="G89" i="37"/>
  <c r="H89" i="37"/>
  <c r="E88" i="37"/>
  <c r="G88" i="37"/>
  <c r="H88" i="37"/>
  <c r="E87" i="37"/>
  <c r="D87" i="37"/>
  <c r="G87" i="37"/>
  <c r="H87" i="37"/>
  <c r="G86" i="37"/>
  <c r="H86" i="37"/>
  <c r="E85" i="37"/>
  <c r="G85" i="37"/>
  <c r="H85" i="37"/>
  <c r="E84" i="37"/>
  <c r="D84" i="37"/>
  <c r="G84" i="37"/>
  <c r="H84" i="37"/>
  <c r="G83" i="37"/>
  <c r="H83" i="37"/>
  <c r="E82" i="37"/>
  <c r="G82" i="37"/>
  <c r="H82" i="37"/>
  <c r="E81" i="37"/>
  <c r="D81" i="37"/>
  <c r="G81" i="37"/>
  <c r="H81" i="37"/>
  <c r="G80" i="37"/>
  <c r="H80" i="37"/>
  <c r="E79" i="37"/>
  <c r="G79" i="37"/>
  <c r="H79" i="37"/>
  <c r="E78" i="37"/>
  <c r="D78" i="37"/>
  <c r="G78" i="37"/>
  <c r="H78" i="37"/>
  <c r="G77" i="37"/>
  <c r="H77" i="37"/>
  <c r="E76" i="37"/>
  <c r="G76" i="37"/>
  <c r="H76" i="37"/>
  <c r="E75" i="37"/>
  <c r="D75" i="37"/>
  <c r="G75" i="37"/>
  <c r="H75" i="37"/>
  <c r="G74" i="37"/>
  <c r="H74" i="37"/>
  <c r="E73" i="37"/>
  <c r="G73" i="37"/>
  <c r="H73" i="37"/>
  <c r="E72" i="37"/>
  <c r="D72" i="37"/>
  <c r="G72" i="37"/>
  <c r="H72" i="37"/>
  <c r="G71" i="37"/>
  <c r="H71" i="37"/>
  <c r="E70" i="37"/>
  <c r="G70" i="37"/>
  <c r="H70" i="37"/>
  <c r="E69" i="37"/>
  <c r="D69" i="37"/>
  <c r="G69" i="37"/>
  <c r="H69" i="37"/>
  <c r="G68" i="37"/>
  <c r="H68" i="37"/>
  <c r="E67" i="37"/>
  <c r="G67" i="37"/>
  <c r="H67" i="37"/>
  <c r="E66" i="37"/>
  <c r="D66" i="37"/>
  <c r="G66" i="37"/>
  <c r="H66" i="37"/>
  <c r="G65" i="37"/>
  <c r="H65" i="37"/>
  <c r="E64" i="37"/>
  <c r="G64" i="37"/>
  <c r="H64" i="37"/>
  <c r="E63" i="37"/>
  <c r="G63" i="37"/>
  <c r="H63" i="37"/>
  <c r="E62" i="37"/>
  <c r="G62" i="37"/>
  <c r="H62" i="37"/>
  <c r="E61" i="37"/>
  <c r="G61" i="37"/>
  <c r="H61" i="37"/>
  <c r="E60" i="37"/>
  <c r="G60" i="37"/>
  <c r="H60" i="37"/>
  <c r="E59" i="37"/>
  <c r="G59" i="37"/>
  <c r="H59" i="37"/>
  <c r="E58" i="37"/>
  <c r="G58" i="37"/>
  <c r="H58" i="37"/>
  <c r="E57" i="37"/>
  <c r="G57" i="37"/>
  <c r="H57" i="37"/>
  <c r="E56" i="37"/>
  <c r="G56" i="37"/>
  <c r="H56" i="37"/>
  <c r="E55" i="37"/>
  <c r="G55" i="37"/>
  <c r="H55" i="37"/>
  <c r="E54" i="37"/>
  <c r="G54" i="37"/>
  <c r="H54" i="37"/>
  <c r="E53" i="37"/>
  <c r="G53" i="37"/>
  <c r="H53" i="37"/>
  <c r="E52" i="37"/>
  <c r="G52" i="37"/>
  <c r="H52" i="37"/>
  <c r="E51" i="37"/>
  <c r="G51" i="37"/>
  <c r="H51" i="37"/>
  <c r="E50" i="37"/>
  <c r="G50" i="37"/>
  <c r="H50" i="37"/>
  <c r="E49" i="37"/>
  <c r="G49" i="37"/>
  <c r="H49" i="37"/>
  <c r="E48" i="37"/>
  <c r="G48" i="37"/>
  <c r="H48" i="37"/>
  <c r="E47" i="37"/>
  <c r="G47" i="37"/>
  <c r="H47" i="37"/>
  <c r="E46" i="37"/>
  <c r="G46" i="37"/>
  <c r="H46" i="37"/>
  <c r="E45" i="37"/>
  <c r="G45" i="37"/>
  <c r="H45" i="37"/>
  <c r="E44" i="37"/>
  <c r="G44" i="37"/>
  <c r="H44" i="37"/>
  <c r="E43" i="37"/>
  <c r="G43" i="37"/>
  <c r="H43" i="37"/>
  <c r="E42" i="37"/>
  <c r="G42" i="37"/>
  <c r="H42" i="37"/>
  <c r="E41" i="37"/>
  <c r="G41" i="37"/>
  <c r="H41" i="37"/>
  <c r="E40" i="37"/>
  <c r="G40" i="37"/>
  <c r="H40" i="37"/>
  <c r="E39" i="37"/>
  <c r="G39" i="37"/>
  <c r="H39" i="37"/>
  <c r="E38" i="37"/>
  <c r="G38" i="37"/>
  <c r="H38" i="37"/>
  <c r="E37" i="37"/>
  <c r="G37" i="37"/>
  <c r="H37" i="37"/>
  <c r="E36" i="37"/>
  <c r="G36" i="37"/>
  <c r="H36" i="37"/>
  <c r="E35" i="37"/>
  <c r="G35" i="37"/>
  <c r="H35" i="37"/>
  <c r="G34" i="37"/>
  <c r="H34" i="37"/>
  <c r="E33" i="37"/>
  <c r="G33" i="37"/>
  <c r="H33" i="37"/>
  <c r="E32" i="37"/>
  <c r="G32" i="37"/>
  <c r="H32" i="37"/>
  <c r="E31" i="37"/>
  <c r="G31" i="37"/>
  <c r="H31" i="37"/>
  <c r="E30" i="37"/>
  <c r="G30" i="37"/>
  <c r="H30" i="37"/>
  <c r="E29" i="37"/>
  <c r="G29" i="37"/>
  <c r="H29" i="37"/>
  <c r="E28" i="37"/>
  <c r="G28" i="37"/>
  <c r="H28" i="37"/>
  <c r="I27" i="37"/>
  <c r="E27" i="37"/>
  <c r="G27" i="37"/>
  <c r="H27" i="37"/>
  <c r="E26" i="37"/>
  <c r="G26" i="37"/>
  <c r="H26" i="37"/>
  <c r="E25" i="37"/>
  <c r="G25" i="37"/>
  <c r="H25" i="37"/>
  <c r="E24" i="37"/>
  <c r="G24" i="37"/>
  <c r="H24" i="37"/>
  <c r="E23" i="37"/>
  <c r="G23" i="37"/>
  <c r="H23" i="37"/>
  <c r="G22" i="37"/>
  <c r="H22" i="37"/>
  <c r="E21" i="37"/>
  <c r="G21" i="37"/>
  <c r="H21" i="37"/>
  <c r="E20" i="37"/>
  <c r="G20" i="37"/>
  <c r="H20" i="37"/>
  <c r="E19" i="37"/>
  <c r="G19" i="37"/>
  <c r="H19" i="37"/>
  <c r="E18" i="37"/>
  <c r="G18" i="37"/>
  <c r="H18" i="37"/>
  <c r="E17" i="37"/>
  <c r="G17" i="37"/>
  <c r="H17" i="37"/>
  <c r="E16" i="37"/>
  <c r="G16" i="37"/>
  <c r="H16" i="37"/>
  <c r="E15" i="37"/>
  <c r="G15" i="37"/>
  <c r="H15" i="37"/>
  <c r="E14" i="37"/>
  <c r="G14" i="37"/>
  <c r="H14" i="37"/>
  <c r="E13" i="37"/>
  <c r="G13" i="37"/>
  <c r="H13" i="37"/>
  <c r="E12" i="37"/>
  <c r="G12" i="37"/>
  <c r="H12" i="37"/>
  <c r="E11" i="37"/>
  <c r="G11" i="37"/>
  <c r="H11" i="37"/>
  <c r="I10" i="37"/>
  <c r="E10" i="37"/>
  <c r="G10" i="37"/>
  <c r="H10" i="37"/>
  <c r="I9" i="37"/>
  <c r="E9" i="37"/>
  <c r="G9" i="37"/>
  <c r="H9" i="37"/>
  <c r="E533" i="32"/>
  <c r="D18" i="32"/>
  <c r="D17" i="32"/>
  <c r="D19" i="32"/>
  <c r="D23" i="32"/>
  <c r="D21" i="32"/>
  <c r="D14" i="32"/>
  <c r="D13" i="32"/>
  <c r="D12" i="32"/>
  <c r="D15" i="32"/>
  <c r="D11" i="32"/>
  <c r="D10" i="32"/>
  <c r="D32" i="32"/>
  <c r="D33" i="32"/>
  <c r="D31" i="32"/>
  <c r="D28" i="32"/>
  <c r="D36" i="32"/>
  <c r="D37" i="32"/>
  <c r="D27" i="32"/>
  <c r="D42" i="32"/>
  <c r="D44" i="32"/>
  <c r="D41" i="32"/>
  <c r="D55" i="32"/>
  <c r="D47" i="32"/>
  <c r="D61" i="32"/>
  <c r="D51" i="32"/>
  <c r="D59" i="32"/>
  <c r="D46" i="32"/>
  <c r="D26" i="32"/>
  <c r="D9" i="32"/>
  <c r="D118" i="32"/>
  <c r="D124" i="32"/>
  <c r="D127" i="32"/>
  <c r="D139" i="32"/>
  <c r="D136" i="32"/>
  <c r="D115" i="32"/>
  <c r="D151" i="32"/>
  <c r="D154" i="32"/>
  <c r="D157" i="32"/>
  <c r="D160" i="32"/>
  <c r="D166" i="32"/>
  <c r="D169" i="32"/>
  <c r="D148" i="32"/>
  <c r="D145" i="32"/>
  <c r="D142" i="32"/>
  <c r="D112" i="32"/>
  <c r="D73" i="32"/>
  <c r="D181" i="32"/>
  <c r="D184" i="32"/>
  <c r="D187" i="32"/>
  <c r="D190" i="32"/>
  <c r="D193" i="32"/>
  <c r="D196" i="32"/>
  <c r="D199" i="32"/>
  <c r="D202" i="32"/>
  <c r="D205" i="32"/>
  <c r="D208" i="32"/>
  <c r="D178" i="32"/>
  <c r="D214" i="32"/>
  <c r="D211" i="32"/>
  <c r="D223" i="32"/>
  <c r="D229" i="32"/>
  <c r="D220" i="32"/>
  <c r="D238" i="32"/>
  <c r="D241" i="32"/>
  <c r="D244" i="32"/>
  <c r="D235" i="32"/>
  <c r="D250" i="32"/>
  <c r="D253" i="32"/>
  <c r="D247" i="32"/>
  <c r="D259" i="32"/>
  <c r="D262" i="32"/>
  <c r="D268" i="32"/>
  <c r="D274" i="32"/>
  <c r="D280" i="32"/>
  <c r="D286" i="32"/>
  <c r="D292" i="32"/>
  <c r="D295" i="32"/>
  <c r="D298" i="32"/>
  <c r="D301" i="32"/>
  <c r="D304" i="32"/>
  <c r="D307" i="32"/>
  <c r="D289" i="32"/>
  <c r="D175" i="32"/>
  <c r="D421" i="32"/>
  <c r="D418" i="32"/>
  <c r="D496" i="32"/>
  <c r="D76" i="32"/>
  <c r="D520" i="32"/>
  <c r="D517" i="32"/>
  <c r="D79" i="32"/>
  <c r="D313" i="32"/>
  <c r="D310" i="32"/>
  <c r="D82" i="32"/>
  <c r="D325" i="32"/>
  <c r="D328" i="32"/>
  <c r="D331" i="32"/>
  <c r="D322" i="32"/>
  <c r="D346" i="32"/>
  <c r="D349" i="32"/>
  <c r="D343" i="32"/>
  <c r="D364" i="32"/>
  <c r="D340" i="32"/>
  <c r="D334" i="32"/>
  <c r="D352" i="32"/>
  <c r="D319" i="32"/>
  <c r="D433" i="32"/>
  <c r="D436" i="32"/>
  <c r="D430" i="32"/>
  <c r="D445" i="32"/>
  <c r="D448" i="32"/>
  <c r="D451" i="32"/>
  <c r="D442" i="32"/>
  <c r="D427" i="32"/>
  <c r="D529" i="32"/>
  <c r="D526" i="32"/>
  <c r="D85" i="32"/>
  <c r="D376" i="32"/>
  <c r="D88" i="32"/>
  <c r="D457" i="32"/>
  <c r="D463" i="32"/>
  <c r="D454" i="32"/>
  <c r="D91" i="32"/>
  <c r="D466" i="32"/>
  <c r="D94" i="32"/>
  <c r="D70" i="32"/>
  <c r="D394" i="32"/>
  <c r="D397" i="32"/>
  <c r="D400" i="32"/>
  <c r="D403" i="32"/>
  <c r="D391" i="32"/>
  <c r="D406" i="32"/>
  <c r="D388" i="32"/>
  <c r="D385" i="32"/>
  <c r="D481" i="32"/>
  <c r="D484" i="32"/>
  <c r="D478" i="32"/>
  <c r="D475" i="32"/>
  <c r="D472" i="32"/>
  <c r="D502" i="32"/>
  <c r="D97" i="32"/>
  <c r="D67" i="32"/>
  <c r="D533" i="32"/>
  <c r="F533" i="32"/>
  <c r="G533" i="32"/>
  <c r="E532" i="32"/>
  <c r="F532" i="32"/>
  <c r="G532" i="32"/>
  <c r="E531" i="32"/>
  <c r="F531" i="32"/>
  <c r="G531" i="32"/>
  <c r="G530" i="32"/>
  <c r="F529" i="32"/>
  <c r="G529" i="32"/>
  <c r="E529" i="32"/>
  <c r="F528" i="32"/>
  <c r="D528" i="32"/>
  <c r="G528" i="32"/>
  <c r="E528" i="32"/>
  <c r="G527" i="32"/>
  <c r="F526" i="32"/>
  <c r="G526" i="32"/>
  <c r="E526" i="32"/>
  <c r="F525" i="32"/>
  <c r="D525" i="32"/>
  <c r="G525" i="32"/>
  <c r="E525" i="32"/>
  <c r="G524" i="32"/>
  <c r="E523" i="32"/>
  <c r="F523" i="32"/>
  <c r="G523" i="32"/>
  <c r="E522" i="32"/>
  <c r="F522" i="32"/>
  <c r="G522" i="32"/>
  <c r="G521" i="32"/>
  <c r="F520" i="32"/>
  <c r="G520" i="32"/>
  <c r="E520" i="32"/>
  <c r="F519" i="32"/>
  <c r="D519" i="32"/>
  <c r="G519" i="32"/>
  <c r="E519" i="32"/>
  <c r="G518" i="32"/>
  <c r="F517" i="32"/>
  <c r="G517" i="32"/>
  <c r="E517" i="32"/>
  <c r="F516" i="32"/>
  <c r="D516" i="32"/>
  <c r="G516" i="32"/>
  <c r="E516" i="32"/>
  <c r="G515" i="32"/>
  <c r="F514" i="32"/>
  <c r="D514" i="32"/>
  <c r="G514" i="32"/>
  <c r="E514" i="32"/>
  <c r="F513" i="32"/>
  <c r="D513" i="32"/>
  <c r="G513" i="32"/>
  <c r="E513" i="32"/>
  <c r="G512" i="32"/>
  <c r="F511" i="32"/>
  <c r="D511" i="32"/>
  <c r="G511" i="32"/>
  <c r="E511" i="32"/>
  <c r="F510" i="32"/>
  <c r="D510" i="32"/>
  <c r="G510" i="32"/>
  <c r="E510" i="32"/>
  <c r="G509" i="32"/>
  <c r="F508" i="32"/>
  <c r="D508" i="32"/>
  <c r="G508" i="32"/>
  <c r="E508" i="32"/>
  <c r="F507" i="32"/>
  <c r="D507" i="32"/>
  <c r="G507" i="32"/>
  <c r="E507" i="32"/>
  <c r="G506" i="32"/>
  <c r="E505" i="32"/>
  <c r="F505" i="32"/>
  <c r="G505" i="32"/>
  <c r="E504" i="32"/>
  <c r="F504" i="32"/>
  <c r="G504" i="32"/>
  <c r="G503" i="32"/>
  <c r="F502" i="32"/>
  <c r="G502" i="32"/>
  <c r="E502" i="32"/>
  <c r="F501" i="32"/>
  <c r="D501" i="32"/>
  <c r="G501" i="32"/>
  <c r="E501" i="32"/>
  <c r="G500" i="32"/>
  <c r="E499" i="32"/>
  <c r="F499" i="32"/>
  <c r="G499" i="32"/>
  <c r="E498" i="32"/>
  <c r="F498" i="32"/>
  <c r="G498" i="32"/>
  <c r="G497" i="32"/>
  <c r="F496" i="32"/>
  <c r="G496" i="32"/>
  <c r="E496" i="32"/>
  <c r="F495" i="32"/>
  <c r="D495" i="32"/>
  <c r="G495" i="32"/>
  <c r="E495" i="32"/>
  <c r="G494" i="32"/>
  <c r="F493" i="32"/>
  <c r="D493" i="32"/>
  <c r="G493" i="32"/>
  <c r="E493" i="32"/>
  <c r="F492" i="32"/>
  <c r="D492" i="32"/>
  <c r="G492" i="32"/>
  <c r="E492" i="32"/>
  <c r="G491" i="32"/>
  <c r="F490" i="32"/>
  <c r="D490" i="32"/>
  <c r="G490" i="32"/>
  <c r="E490" i="32"/>
  <c r="F489" i="32"/>
  <c r="D489" i="32"/>
  <c r="G489" i="32"/>
  <c r="E489" i="32"/>
  <c r="G488" i="32"/>
  <c r="E487" i="32"/>
  <c r="F487" i="32"/>
  <c r="G487" i="32"/>
  <c r="E486" i="32"/>
  <c r="F486" i="32"/>
  <c r="G485" i="32"/>
  <c r="E484" i="32"/>
  <c r="F484" i="32"/>
  <c r="G484" i="32"/>
  <c r="E483" i="32"/>
  <c r="D483" i="32"/>
  <c r="F483" i="32"/>
  <c r="G483" i="32"/>
  <c r="G482" i="32"/>
  <c r="E481" i="32"/>
  <c r="F481" i="32"/>
  <c r="G481" i="32"/>
  <c r="E480" i="32"/>
  <c r="D480" i="32"/>
  <c r="F480" i="32"/>
  <c r="G480" i="32"/>
  <c r="G479" i="32"/>
  <c r="F478" i="32"/>
  <c r="G478" i="32"/>
  <c r="E478" i="32"/>
  <c r="F477" i="32"/>
  <c r="D477" i="32"/>
  <c r="G477" i="32"/>
  <c r="E477" i="32"/>
  <c r="G476" i="32"/>
  <c r="F475" i="32"/>
  <c r="G475" i="32"/>
  <c r="E475" i="32"/>
  <c r="F474" i="32"/>
  <c r="D474" i="32"/>
  <c r="G474" i="32"/>
  <c r="E474" i="32"/>
  <c r="G473" i="32"/>
  <c r="F472" i="32"/>
  <c r="G472" i="32"/>
  <c r="E472" i="32"/>
  <c r="F471" i="32"/>
  <c r="D471" i="32"/>
  <c r="G471" i="32"/>
  <c r="E471" i="32"/>
  <c r="G470" i="32"/>
  <c r="E469" i="32"/>
  <c r="F469" i="32"/>
  <c r="G469" i="32"/>
  <c r="E468" i="32"/>
  <c r="D468" i="32"/>
  <c r="F468" i="32"/>
  <c r="G468" i="32"/>
  <c r="G467" i="32"/>
  <c r="F466" i="32"/>
  <c r="G466" i="32"/>
  <c r="E466" i="32"/>
  <c r="F465" i="32"/>
  <c r="D465" i="32"/>
  <c r="G465" i="32"/>
  <c r="E465" i="32"/>
  <c r="G464" i="32"/>
  <c r="E463" i="32"/>
  <c r="F463" i="32"/>
  <c r="G463" i="32"/>
  <c r="E462" i="32"/>
  <c r="D462" i="32"/>
  <c r="F462" i="32"/>
  <c r="G462" i="32"/>
  <c r="G461" i="32"/>
  <c r="E460" i="32"/>
  <c r="F460" i="32"/>
  <c r="G460" i="32"/>
  <c r="E459" i="32"/>
  <c r="F459" i="32"/>
  <c r="G459" i="32"/>
  <c r="G458" i="32"/>
  <c r="E457" i="32"/>
  <c r="F457" i="32"/>
  <c r="G457" i="32"/>
  <c r="E456" i="32"/>
  <c r="D456" i="32"/>
  <c r="F456" i="32"/>
  <c r="G456" i="32"/>
  <c r="G455" i="32"/>
  <c r="F454" i="32"/>
  <c r="G454" i="32"/>
  <c r="E454" i="32"/>
  <c r="F453" i="32"/>
  <c r="D453" i="32"/>
  <c r="G453" i="32"/>
  <c r="E453" i="32"/>
  <c r="G452" i="32"/>
  <c r="E451" i="32"/>
  <c r="F451" i="32"/>
  <c r="G451" i="32"/>
  <c r="E450" i="32"/>
  <c r="F450" i="32"/>
  <c r="G450" i="32"/>
  <c r="G449" i="32"/>
  <c r="E448" i="32"/>
  <c r="F448" i="32"/>
  <c r="G448" i="32"/>
  <c r="E447" i="32"/>
  <c r="D447" i="32"/>
  <c r="F447" i="32"/>
  <c r="G447" i="32"/>
  <c r="G446" i="32"/>
  <c r="E445" i="32"/>
  <c r="F445" i="32"/>
  <c r="G445" i="32"/>
  <c r="E444" i="32"/>
  <c r="D444" i="32"/>
  <c r="F444" i="32"/>
  <c r="G444" i="32"/>
  <c r="G443" i="32"/>
  <c r="F442" i="32"/>
  <c r="G442" i="32"/>
  <c r="E442" i="32"/>
  <c r="F441" i="32"/>
  <c r="D441" i="32"/>
  <c r="G441" i="32"/>
  <c r="E441" i="32"/>
  <c r="G440" i="32"/>
  <c r="G439" i="32"/>
  <c r="G438" i="32"/>
  <c r="G437" i="32"/>
  <c r="E436" i="32"/>
  <c r="F436" i="32"/>
  <c r="G436" i="32"/>
  <c r="E435" i="32"/>
  <c r="D435" i="32"/>
  <c r="F435" i="32"/>
  <c r="G435" i="32"/>
  <c r="G434" i="32"/>
  <c r="E433" i="32"/>
  <c r="F433" i="32"/>
  <c r="G433" i="32"/>
  <c r="E432" i="32"/>
  <c r="D432" i="32"/>
  <c r="F432" i="32"/>
  <c r="G432" i="32"/>
  <c r="G431" i="32"/>
  <c r="F430" i="32"/>
  <c r="G430" i="32"/>
  <c r="E430" i="32"/>
  <c r="F429" i="32"/>
  <c r="D429" i="32"/>
  <c r="G429" i="32"/>
  <c r="E429" i="32"/>
  <c r="G428" i="32"/>
  <c r="F427" i="32"/>
  <c r="G427" i="32"/>
  <c r="E427" i="32"/>
  <c r="F426" i="32"/>
  <c r="D426" i="32"/>
  <c r="G426" i="32"/>
  <c r="E426" i="32"/>
  <c r="G425" i="32"/>
  <c r="E424" i="32"/>
  <c r="F424" i="32"/>
  <c r="G424" i="32"/>
  <c r="E423" i="32"/>
  <c r="F423" i="32"/>
  <c r="G423" i="32"/>
  <c r="G422" i="32"/>
  <c r="F421" i="32"/>
  <c r="G421" i="32"/>
  <c r="E421" i="32"/>
  <c r="F420" i="32"/>
  <c r="D420" i="32"/>
  <c r="G420" i="32"/>
  <c r="E420" i="32"/>
  <c r="G419" i="32"/>
  <c r="F418" i="32"/>
  <c r="G418" i="32"/>
  <c r="E418" i="32"/>
  <c r="F417" i="32"/>
  <c r="D417" i="32"/>
  <c r="G417" i="32"/>
  <c r="E417" i="32"/>
  <c r="G416" i="32"/>
  <c r="F415" i="32"/>
  <c r="D415" i="32"/>
  <c r="G415" i="32"/>
  <c r="E415" i="32"/>
  <c r="F414" i="32"/>
  <c r="D414" i="32"/>
  <c r="G414" i="32"/>
  <c r="E414" i="32"/>
  <c r="G413" i="32"/>
  <c r="F412" i="32"/>
  <c r="D412" i="32"/>
  <c r="G412" i="32"/>
  <c r="E412" i="32"/>
  <c r="F411" i="32"/>
  <c r="D411" i="32"/>
  <c r="G411" i="32"/>
  <c r="E411" i="32"/>
  <c r="G410" i="32"/>
  <c r="F409" i="32"/>
  <c r="D409" i="32"/>
  <c r="G409" i="32"/>
  <c r="E409" i="32"/>
  <c r="F408" i="32"/>
  <c r="D408" i="32"/>
  <c r="G408" i="32"/>
  <c r="E408" i="32"/>
  <c r="G407" i="32"/>
  <c r="E406" i="32"/>
  <c r="F406" i="32"/>
  <c r="G406" i="32"/>
  <c r="E405" i="32"/>
  <c r="D405" i="32"/>
  <c r="F405" i="32"/>
  <c r="G405" i="32"/>
  <c r="G404" i="32"/>
  <c r="E403" i="32"/>
  <c r="F403" i="32"/>
  <c r="G403" i="32"/>
  <c r="E402" i="32"/>
  <c r="D402" i="32"/>
  <c r="F402" i="32"/>
  <c r="G402" i="32"/>
  <c r="G401" i="32"/>
  <c r="E400" i="32"/>
  <c r="F400" i="32"/>
  <c r="G400" i="32"/>
  <c r="E399" i="32"/>
  <c r="D399" i="32"/>
  <c r="F399" i="32"/>
  <c r="G399" i="32"/>
  <c r="G398" i="32"/>
  <c r="E397" i="32"/>
  <c r="F397" i="32"/>
  <c r="G397" i="32"/>
  <c r="E396" i="32"/>
  <c r="D396" i="32"/>
  <c r="F396" i="32"/>
  <c r="G396" i="32"/>
  <c r="G395" i="32"/>
  <c r="E394" i="32"/>
  <c r="F394" i="32"/>
  <c r="G394" i="32"/>
  <c r="E393" i="32"/>
  <c r="D393" i="32"/>
  <c r="F393" i="32"/>
  <c r="G393" i="32"/>
  <c r="G392" i="32"/>
  <c r="F391" i="32"/>
  <c r="G391" i="32"/>
  <c r="E391" i="32"/>
  <c r="F390" i="32"/>
  <c r="D390" i="32"/>
  <c r="G390" i="32"/>
  <c r="E390" i="32"/>
  <c r="G389" i="32"/>
  <c r="F388" i="32"/>
  <c r="G388" i="32"/>
  <c r="E388" i="32"/>
  <c r="F387" i="32"/>
  <c r="D387" i="32"/>
  <c r="G387" i="32"/>
  <c r="E387" i="32"/>
  <c r="G386" i="32"/>
  <c r="F385" i="32"/>
  <c r="G385" i="32"/>
  <c r="E385" i="32"/>
  <c r="F384" i="32"/>
  <c r="D384" i="32"/>
  <c r="G384" i="32"/>
  <c r="E384" i="32"/>
  <c r="G383" i="32"/>
  <c r="E382" i="32"/>
  <c r="F382" i="32"/>
  <c r="G382" i="32"/>
  <c r="E381" i="32"/>
  <c r="F381" i="32"/>
  <c r="G381" i="32"/>
  <c r="G380" i="32"/>
  <c r="E379" i="32"/>
  <c r="F379" i="32"/>
  <c r="G379" i="32"/>
  <c r="E378" i="32"/>
  <c r="F378" i="32"/>
  <c r="G378" i="32"/>
  <c r="G377" i="32"/>
  <c r="F376" i="32"/>
  <c r="G376" i="32"/>
  <c r="E376" i="32"/>
  <c r="F375" i="32"/>
  <c r="D375" i="32"/>
  <c r="G375" i="32"/>
  <c r="E375" i="32"/>
  <c r="G374" i="32"/>
  <c r="G373" i="32"/>
  <c r="G372" i="32"/>
  <c r="G371" i="32"/>
  <c r="E370" i="32"/>
  <c r="F370" i="32"/>
  <c r="G370" i="32"/>
  <c r="E369" i="32"/>
  <c r="F369" i="32"/>
  <c r="G369" i="32"/>
  <c r="G368" i="32"/>
  <c r="E367" i="32"/>
  <c r="F367" i="32"/>
  <c r="G367" i="32"/>
  <c r="E366" i="32"/>
  <c r="F366" i="32"/>
  <c r="G366" i="32"/>
  <c r="G365" i="32"/>
  <c r="F364" i="32"/>
  <c r="G364" i="32"/>
  <c r="E364" i="32"/>
  <c r="F363" i="32"/>
  <c r="D363" i="32"/>
  <c r="G363" i="32"/>
  <c r="E363" i="32"/>
  <c r="G362" i="32"/>
  <c r="E361" i="32"/>
  <c r="F361" i="32"/>
  <c r="G361" i="32"/>
  <c r="E360" i="32"/>
  <c r="F360" i="32"/>
  <c r="G360" i="32"/>
  <c r="G359" i="32"/>
  <c r="E358" i="32"/>
  <c r="F358" i="32"/>
  <c r="G358" i="32"/>
  <c r="E357" i="32"/>
  <c r="F357" i="32"/>
  <c r="G357" i="32"/>
  <c r="G356" i="32"/>
  <c r="E355" i="32"/>
  <c r="F355" i="32"/>
  <c r="G355" i="32"/>
  <c r="E354" i="32"/>
  <c r="F354" i="32"/>
  <c r="G354" i="32"/>
  <c r="G353" i="32"/>
  <c r="F352" i="32"/>
  <c r="G352" i="32"/>
  <c r="E352" i="32"/>
  <c r="F351" i="32"/>
  <c r="D351" i="32"/>
  <c r="G351" i="32"/>
  <c r="E351" i="32"/>
  <c r="G350" i="32"/>
  <c r="E349" i="32"/>
  <c r="F349" i="32"/>
  <c r="G349" i="32"/>
  <c r="E348" i="32"/>
  <c r="D348" i="32"/>
  <c r="F348" i="32"/>
  <c r="G348" i="32"/>
  <c r="G347" i="32"/>
  <c r="E346" i="32"/>
  <c r="F346" i="32"/>
  <c r="G346" i="32"/>
  <c r="E345" i="32"/>
  <c r="D345" i="32"/>
  <c r="F345" i="32"/>
  <c r="G345" i="32"/>
  <c r="G344" i="32"/>
  <c r="F343" i="32"/>
  <c r="G343" i="32"/>
  <c r="E343" i="32"/>
  <c r="F342" i="32"/>
  <c r="D342" i="32"/>
  <c r="G342" i="32"/>
  <c r="E342" i="32"/>
  <c r="G341" i="32"/>
  <c r="E340" i="32"/>
  <c r="F340" i="32"/>
  <c r="G340" i="32"/>
  <c r="E339" i="32"/>
  <c r="D339" i="32"/>
  <c r="F339" i="32"/>
  <c r="G339" i="32"/>
  <c r="G338" i="32"/>
  <c r="G337" i="32"/>
  <c r="G336" i="32"/>
  <c r="G335" i="32"/>
  <c r="F334" i="32"/>
  <c r="G334" i="32"/>
  <c r="E334" i="32"/>
  <c r="F333" i="32"/>
  <c r="D333" i="32"/>
  <c r="G333" i="32"/>
  <c r="E333" i="32"/>
  <c r="G332" i="32"/>
  <c r="E331" i="32"/>
  <c r="F331" i="32"/>
  <c r="G331" i="32"/>
  <c r="E330" i="32"/>
  <c r="D330" i="32"/>
  <c r="F330" i="32"/>
  <c r="G330" i="32"/>
  <c r="G329" i="32"/>
  <c r="E328" i="32"/>
  <c r="F328" i="32"/>
  <c r="G328" i="32"/>
  <c r="E327" i="32"/>
  <c r="D327" i="32"/>
  <c r="F327" i="32"/>
  <c r="G327" i="32"/>
  <c r="G326" i="32"/>
  <c r="E325" i="32"/>
  <c r="F325" i="32"/>
  <c r="G325" i="32"/>
  <c r="E324" i="32"/>
  <c r="D324" i="32"/>
  <c r="F324" i="32"/>
  <c r="G324" i="32"/>
  <c r="G323" i="32"/>
  <c r="F322" i="32"/>
  <c r="G322" i="32"/>
  <c r="E322" i="32"/>
  <c r="F321" i="32"/>
  <c r="D321" i="32"/>
  <c r="G321" i="32"/>
  <c r="E321" i="32"/>
  <c r="G320" i="32"/>
  <c r="F319" i="32"/>
  <c r="G319" i="32"/>
  <c r="E319" i="32"/>
  <c r="F318" i="32"/>
  <c r="D318" i="32"/>
  <c r="G318" i="32"/>
  <c r="E318" i="32"/>
  <c r="G317" i="32"/>
  <c r="E316" i="32"/>
  <c r="F316" i="32"/>
  <c r="G316" i="32"/>
  <c r="E315" i="32"/>
  <c r="F315" i="32"/>
  <c r="G315" i="32"/>
  <c r="G314" i="32"/>
  <c r="F313" i="32"/>
  <c r="G313" i="32"/>
  <c r="E313" i="32"/>
  <c r="F312" i="32"/>
  <c r="D312" i="32"/>
  <c r="G312" i="32"/>
  <c r="E312" i="32"/>
  <c r="G311" i="32"/>
  <c r="F310" i="32"/>
  <c r="G310" i="32"/>
  <c r="E310" i="32"/>
  <c r="F309" i="32"/>
  <c r="D309" i="32"/>
  <c r="G309" i="32"/>
  <c r="E309" i="32"/>
  <c r="G308" i="32"/>
  <c r="E307" i="32"/>
  <c r="F307" i="32"/>
  <c r="G307" i="32"/>
  <c r="E306" i="32"/>
  <c r="D306" i="32"/>
  <c r="F306" i="32"/>
  <c r="G306" i="32"/>
  <c r="G305" i="32"/>
  <c r="E304" i="32"/>
  <c r="F304" i="32"/>
  <c r="G304" i="32"/>
  <c r="E303" i="32"/>
  <c r="D303" i="32"/>
  <c r="F303" i="32"/>
  <c r="G303" i="32"/>
  <c r="G302" i="32"/>
  <c r="E301" i="32"/>
  <c r="F301" i="32"/>
  <c r="G301" i="32"/>
  <c r="E300" i="32"/>
  <c r="D300" i="32"/>
  <c r="F300" i="32"/>
  <c r="G300" i="32"/>
  <c r="G299" i="32"/>
  <c r="E298" i="32"/>
  <c r="F298" i="32"/>
  <c r="G298" i="32"/>
  <c r="E297" i="32"/>
  <c r="D297" i="32"/>
  <c r="F297" i="32"/>
  <c r="G297" i="32"/>
  <c r="G296" i="32"/>
  <c r="E295" i="32"/>
  <c r="F295" i="32"/>
  <c r="G295" i="32"/>
  <c r="E294" i="32"/>
  <c r="D294" i="32"/>
  <c r="F294" i="32"/>
  <c r="G294" i="32"/>
  <c r="G293" i="32"/>
  <c r="E292" i="32"/>
  <c r="F292" i="32"/>
  <c r="G292" i="32"/>
  <c r="E291" i="32"/>
  <c r="D291" i="32"/>
  <c r="F291" i="32"/>
  <c r="G291" i="32"/>
  <c r="G290" i="32"/>
  <c r="F289" i="32"/>
  <c r="G289" i="32"/>
  <c r="E289" i="32"/>
  <c r="F288" i="32"/>
  <c r="D288" i="32"/>
  <c r="G288" i="32"/>
  <c r="E288" i="32"/>
  <c r="G287" i="32"/>
  <c r="E286" i="32"/>
  <c r="F286" i="32"/>
  <c r="G286" i="32"/>
  <c r="E285" i="32"/>
  <c r="D285" i="32"/>
  <c r="F285" i="32"/>
  <c r="G285" i="32"/>
  <c r="G284" i="32"/>
  <c r="G283" i="32"/>
  <c r="G282" i="32"/>
  <c r="G281" i="32"/>
  <c r="F280" i="32"/>
  <c r="G280" i="32"/>
  <c r="E280" i="32"/>
  <c r="F279" i="32"/>
  <c r="D279" i="32"/>
  <c r="G279" i="32"/>
  <c r="E279" i="32"/>
  <c r="G278" i="32"/>
  <c r="E277" i="32"/>
  <c r="F277" i="32"/>
  <c r="G277" i="32"/>
  <c r="E276" i="32"/>
  <c r="F276" i="32"/>
  <c r="G276" i="32"/>
  <c r="G275" i="32"/>
  <c r="E274" i="32"/>
  <c r="F274" i="32"/>
  <c r="G274" i="32"/>
  <c r="E273" i="32"/>
  <c r="D273" i="32"/>
  <c r="F273" i="32"/>
  <c r="G273" i="32"/>
  <c r="G272" i="32"/>
  <c r="E271" i="32"/>
  <c r="F271" i="32"/>
  <c r="G271" i="32"/>
  <c r="E270" i="32"/>
  <c r="F270" i="32"/>
  <c r="G270" i="32"/>
  <c r="G269" i="32"/>
  <c r="E268" i="32"/>
  <c r="F268" i="32"/>
  <c r="G268" i="32"/>
  <c r="E267" i="32"/>
  <c r="D267" i="32"/>
  <c r="F267" i="32"/>
  <c r="G267" i="32"/>
  <c r="G266" i="32"/>
  <c r="E265" i="32"/>
  <c r="F265" i="32"/>
  <c r="G265" i="32"/>
  <c r="E264" i="32"/>
  <c r="F264" i="32"/>
  <c r="G264" i="32"/>
  <c r="G263" i="32"/>
  <c r="E262" i="32"/>
  <c r="F262" i="32"/>
  <c r="G262" i="32"/>
  <c r="E261" i="32"/>
  <c r="D261" i="32"/>
  <c r="F261" i="32"/>
  <c r="G261" i="32"/>
  <c r="G260" i="32"/>
  <c r="E259" i="32"/>
  <c r="F259" i="32"/>
  <c r="G259" i="32"/>
  <c r="E258" i="32"/>
  <c r="D258" i="32"/>
  <c r="F258" i="32"/>
  <c r="G258" i="32"/>
  <c r="G257" i="32"/>
  <c r="E256" i="32"/>
  <c r="F256" i="32"/>
  <c r="G256" i="32"/>
  <c r="E255" i="32"/>
  <c r="F255" i="32"/>
  <c r="G255" i="32"/>
  <c r="G254" i="32"/>
  <c r="E253" i="32"/>
  <c r="F253" i="32"/>
  <c r="G253" i="32"/>
  <c r="E252" i="32"/>
  <c r="D252" i="32"/>
  <c r="F252" i="32"/>
  <c r="G252" i="32"/>
  <c r="G251" i="32"/>
  <c r="E250" i="32"/>
  <c r="F250" i="32"/>
  <c r="G250" i="32"/>
  <c r="E249" i="32"/>
  <c r="D249" i="32"/>
  <c r="F249" i="32"/>
  <c r="G249" i="32"/>
  <c r="G248" i="32"/>
  <c r="F247" i="32"/>
  <c r="G247" i="32"/>
  <c r="E247" i="32"/>
  <c r="F246" i="32"/>
  <c r="D246" i="32"/>
  <c r="G246" i="32"/>
  <c r="E246" i="32"/>
  <c r="G245" i="32"/>
  <c r="E244" i="32"/>
  <c r="F244" i="32"/>
  <c r="G244" i="32"/>
  <c r="E243" i="32"/>
  <c r="D243" i="32"/>
  <c r="F243" i="32"/>
  <c r="G243" i="32"/>
  <c r="G242" i="32"/>
  <c r="E241" i="32"/>
  <c r="F241" i="32"/>
  <c r="G241" i="32"/>
  <c r="E240" i="32"/>
  <c r="D240" i="32"/>
  <c r="F240" i="32"/>
  <c r="G240" i="32"/>
  <c r="G239" i="32"/>
  <c r="E238" i="32"/>
  <c r="F238" i="32"/>
  <c r="G238" i="32"/>
  <c r="E237" i="32"/>
  <c r="D237" i="32"/>
  <c r="F237" i="32"/>
  <c r="G237" i="32"/>
  <c r="G236" i="32"/>
  <c r="F235" i="32"/>
  <c r="G235" i="32"/>
  <c r="E235" i="32"/>
  <c r="F234" i="32"/>
  <c r="D234" i="32"/>
  <c r="G234" i="32"/>
  <c r="E234" i="32"/>
  <c r="G233" i="32"/>
  <c r="E232" i="32"/>
  <c r="F232" i="32"/>
  <c r="G232" i="32"/>
  <c r="E231" i="32"/>
  <c r="F231" i="32"/>
  <c r="G231" i="32"/>
  <c r="G230" i="32"/>
  <c r="E229" i="32"/>
  <c r="F229" i="32"/>
  <c r="G229" i="32"/>
  <c r="E228" i="32"/>
  <c r="D228" i="32"/>
  <c r="F228" i="32"/>
  <c r="G228" i="32"/>
  <c r="G227" i="32"/>
  <c r="E226" i="32"/>
  <c r="F226" i="32"/>
  <c r="G226" i="32"/>
  <c r="E225" i="32"/>
  <c r="F225" i="32"/>
  <c r="G225" i="32"/>
  <c r="G224" i="32"/>
  <c r="E223" i="32"/>
  <c r="F223" i="32"/>
  <c r="G223" i="32"/>
  <c r="E222" i="32"/>
  <c r="D222" i="32"/>
  <c r="F222" i="32"/>
  <c r="G222" i="32"/>
  <c r="G221" i="32"/>
  <c r="F220" i="32"/>
  <c r="G220" i="32"/>
  <c r="E220" i="32"/>
  <c r="F219" i="32"/>
  <c r="D219" i="32"/>
  <c r="G219" i="32"/>
  <c r="E219" i="32"/>
  <c r="G218" i="32"/>
  <c r="E217" i="32"/>
  <c r="F217" i="32"/>
  <c r="G217" i="32"/>
  <c r="E216" i="32"/>
  <c r="F216" i="32"/>
  <c r="G216" i="32"/>
  <c r="G215" i="32"/>
  <c r="F214" i="32"/>
  <c r="G214" i="32"/>
  <c r="E214" i="32"/>
  <c r="F213" i="32"/>
  <c r="D213" i="32"/>
  <c r="G213" i="32"/>
  <c r="E213" i="32"/>
  <c r="G212" i="32"/>
  <c r="E211" i="32"/>
  <c r="F211" i="32"/>
  <c r="G211" i="32"/>
  <c r="E210" i="32"/>
  <c r="D210" i="32"/>
  <c r="F210" i="32"/>
  <c r="G210" i="32"/>
  <c r="G209" i="32"/>
  <c r="E208" i="32"/>
  <c r="F208" i="32"/>
  <c r="G208" i="32"/>
  <c r="E207" i="32"/>
  <c r="D207" i="32"/>
  <c r="F207" i="32"/>
  <c r="G207" i="32"/>
  <c r="G206" i="32"/>
  <c r="E205" i="32"/>
  <c r="F205" i="32"/>
  <c r="G205" i="32"/>
  <c r="E204" i="32"/>
  <c r="D204" i="32"/>
  <c r="F204" i="32"/>
  <c r="G204" i="32"/>
  <c r="G203" i="32"/>
  <c r="E202" i="32"/>
  <c r="F202" i="32"/>
  <c r="G202" i="32"/>
  <c r="E201" i="32"/>
  <c r="D201" i="32"/>
  <c r="F201" i="32"/>
  <c r="G201" i="32"/>
  <c r="G200" i="32"/>
  <c r="E199" i="32"/>
  <c r="F199" i="32"/>
  <c r="G199" i="32"/>
  <c r="E198" i="32"/>
  <c r="D198" i="32"/>
  <c r="F198" i="32"/>
  <c r="G198" i="32"/>
  <c r="G197" i="32"/>
  <c r="E196" i="32"/>
  <c r="F196" i="32"/>
  <c r="G196" i="32"/>
  <c r="E195" i="32"/>
  <c r="D195" i="32"/>
  <c r="F195" i="32"/>
  <c r="G195" i="32"/>
  <c r="G194" i="32"/>
  <c r="E193" i="32"/>
  <c r="F193" i="32"/>
  <c r="G193" i="32"/>
  <c r="E192" i="32"/>
  <c r="D192" i="32"/>
  <c r="F192" i="32"/>
  <c r="G192" i="32"/>
  <c r="G191" i="32"/>
  <c r="E190" i="32"/>
  <c r="F190" i="32"/>
  <c r="G190" i="32"/>
  <c r="E189" i="32"/>
  <c r="D189" i="32"/>
  <c r="F189" i="32"/>
  <c r="G189" i="32"/>
  <c r="G188" i="32"/>
  <c r="E187" i="32"/>
  <c r="F187" i="32"/>
  <c r="G187" i="32"/>
  <c r="E186" i="32"/>
  <c r="D186" i="32"/>
  <c r="F186" i="32"/>
  <c r="G186" i="32"/>
  <c r="G185" i="32"/>
  <c r="E184" i="32"/>
  <c r="F184" i="32"/>
  <c r="G184" i="32"/>
  <c r="E183" i="32"/>
  <c r="D183" i="32"/>
  <c r="F183" i="32"/>
  <c r="G183" i="32"/>
  <c r="G182" i="32"/>
  <c r="E181" i="32"/>
  <c r="F181" i="32"/>
  <c r="G181" i="32"/>
  <c r="E180" i="32"/>
  <c r="D180" i="32"/>
  <c r="F180" i="32"/>
  <c r="G180" i="32"/>
  <c r="G179" i="32"/>
  <c r="F178" i="32"/>
  <c r="G178" i="32"/>
  <c r="E178" i="32"/>
  <c r="F177" i="32"/>
  <c r="D177" i="32"/>
  <c r="G177" i="32"/>
  <c r="E177" i="32"/>
  <c r="G176" i="32"/>
  <c r="F175" i="32"/>
  <c r="G175" i="32"/>
  <c r="E175" i="32"/>
  <c r="F174" i="32"/>
  <c r="H174" i="32"/>
  <c r="D174" i="32"/>
  <c r="G174" i="32"/>
  <c r="E174" i="32"/>
  <c r="G173" i="32"/>
  <c r="E172" i="32"/>
  <c r="F172" i="32"/>
  <c r="G172" i="32"/>
  <c r="E171" i="32"/>
  <c r="F171" i="32"/>
  <c r="G171" i="32"/>
  <c r="G170" i="32"/>
  <c r="E169" i="32"/>
  <c r="F169" i="32"/>
  <c r="G169" i="32"/>
  <c r="E168" i="32"/>
  <c r="D168" i="32"/>
  <c r="F168" i="32"/>
  <c r="G168" i="32"/>
  <c r="G167" i="32"/>
  <c r="E166" i="32"/>
  <c r="F166" i="32"/>
  <c r="G166" i="32"/>
  <c r="E165" i="32"/>
  <c r="D165" i="32"/>
  <c r="F165" i="32"/>
  <c r="G165" i="32"/>
  <c r="G164" i="32"/>
  <c r="G163" i="32"/>
  <c r="G162" i="32"/>
  <c r="G161" i="32"/>
  <c r="E160" i="32"/>
  <c r="F160" i="32"/>
  <c r="G160" i="32"/>
  <c r="E159" i="32"/>
  <c r="D159" i="32"/>
  <c r="F159" i="32"/>
  <c r="G159" i="32"/>
  <c r="G158" i="32"/>
  <c r="E157" i="32"/>
  <c r="F157" i="32"/>
  <c r="G157" i="32"/>
  <c r="E156" i="32"/>
  <c r="D156" i="32"/>
  <c r="F156" i="32"/>
  <c r="G156" i="32"/>
  <c r="G155" i="32"/>
  <c r="E154" i="32"/>
  <c r="F154" i="32"/>
  <c r="G154" i="32"/>
  <c r="E153" i="32"/>
  <c r="D153" i="32"/>
  <c r="F153" i="32"/>
  <c r="G153" i="32"/>
  <c r="G152" i="32"/>
  <c r="E151" i="32"/>
  <c r="F151" i="32"/>
  <c r="G151" i="32"/>
  <c r="E150" i="32"/>
  <c r="D150" i="32"/>
  <c r="F150" i="32"/>
  <c r="G150" i="32"/>
  <c r="G149" i="32"/>
  <c r="F148" i="32"/>
  <c r="G148" i="32"/>
  <c r="E148" i="32"/>
  <c r="F147" i="32"/>
  <c r="D147" i="32"/>
  <c r="G147" i="32"/>
  <c r="E147" i="32"/>
  <c r="G146" i="32"/>
  <c r="E145" i="32"/>
  <c r="F145" i="32"/>
  <c r="G145" i="32"/>
  <c r="E144" i="32"/>
  <c r="D144" i="32"/>
  <c r="F144" i="32"/>
  <c r="G144" i="32"/>
  <c r="G143" i="32"/>
  <c r="F142" i="32"/>
  <c r="G142" i="32"/>
  <c r="E142" i="32"/>
  <c r="F141" i="32"/>
  <c r="D141" i="32"/>
  <c r="G141" i="32"/>
  <c r="E141" i="32"/>
  <c r="G140" i="32"/>
  <c r="E139" i="32"/>
  <c r="F139" i="32"/>
  <c r="G139" i="32"/>
  <c r="E138" i="32"/>
  <c r="D138" i="32"/>
  <c r="F138" i="32"/>
  <c r="G138" i="32"/>
  <c r="G137" i="32"/>
  <c r="E136" i="32"/>
  <c r="F136" i="32"/>
  <c r="G136" i="32"/>
  <c r="E135" i="32"/>
  <c r="D135" i="32"/>
  <c r="F135" i="32"/>
  <c r="G135" i="32"/>
  <c r="G134" i="32"/>
  <c r="G133" i="32"/>
  <c r="G132" i="32"/>
  <c r="G131" i="32"/>
  <c r="E130" i="32"/>
  <c r="F130" i="32"/>
  <c r="G130" i="32"/>
  <c r="E129" i="32"/>
  <c r="F129" i="32"/>
  <c r="G129" i="32"/>
  <c r="G128" i="32"/>
  <c r="E127" i="32"/>
  <c r="F127" i="32"/>
  <c r="G127" i="32"/>
  <c r="E126" i="32"/>
  <c r="D126" i="32"/>
  <c r="F126" i="32"/>
  <c r="G126" i="32"/>
  <c r="G125" i="32"/>
  <c r="E124" i="32"/>
  <c r="F124" i="32"/>
  <c r="G124" i="32"/>
  <c r="E123" i="32"/>
  <c r="D123" i="32"/>
  <c r="F123" i="32"/>
  <c r="G123" i="32"/>
  <c r="G122" i="32"/>
  <c r="E121" i="32"/>
  <c r="F121" i="32"/>
  <c r="G121" i="32"/>
  <c r="E120" i="32"/>
  <c r="F120" i="32"/>
  <c r="G120" i="32"/>
  <c r="G119" i="32"/>
  <c r="E118" i="32"/>
  <c r="F118" i="32"/>
  <c r="G118" i="32"/>
  <c r="E117" i="32"/>
  <c r="D117" i="32"/>
  <c r="F117" i="32"/>
  <c r="G117" i="32"/>
  <c r="G116" i="32"/>
  <c r="F115" i="32"/>
  <c r="G115" i="32"/>
  <c r="E115" i="32"/>
  <c r="F114" i="32"/>
  <c r="D114" i="32"/>
  <c r="G114" i="32"/>
  <c r="E114" i="32"/>
  <c r="G113" i="32"/>
  <c r="F112" i="32"/>
  <c r="G112" i="32"/>
  <c r="E112" i="32"/>
  <c r="F111" i="32"/>
  <c r="D111" i="32"/>
  <c r="G111" i="32"/>
  <c r="E111" i="32"/>
  <c r="G110" i="32"/>
  <c r="F109" i="32"/>
  <c r="D109" i="32"/>
  <c r="G109" i="32"/>
  <c r="E109" i="32"/>
  <c r="F108" i="32"/>
  <c r="D108" i="32"/>
  <c r="G108" i="32"/>
  <c r="E108" i="32"/>
  <c r="G107" i="32"/>
  <c r="F106" i="32"/>
  <c r="D106" i="32"/>
  <c r="G106" i="32"/>
  <c r="E106" i="32"/>
  <c r="F105" i="32"/>
  <c r="D105" i="32"/>
  <c r="G105" i="32"/>
  <c r="E105" i="32"/>
  <c r="G104" i="32"/>
  <c r="F103" i="32"/>
  <c r="D103" i="32"/>
  <c r="G103" i="32"/>
  <c r="E103" i="32"/>
  <c r="F102" i="32"/>
  <c r="D102" i="32"/>
  <c r="G102" i="32"/>
  <c r="E102" i="32"/>
  <c r="G101" i="32"/>
  <c r="F100" i="32"/>
  <c r="D100" i="32"/>
  <c r="G100" i="32"/>
  <c r="E100" i="32"/>
  <c r="F99" i="32"/>
  <c r="D99" i="32"/>
  <c r="G99" i="32"/>
  <c r="E99" i="32"/>
  <c r="G98" i="32"/>
  <c r="F97" i="32"/>
  <c r="G97" i="32"/>
  <c r="E97" i="32"/>
  <c r="F96" i="32"/>
  <c r="D96" i="32"/>
  <c r="G96" i="32"/>
  <c r="E96" i="32"/>
  <c r="G95" i="32"/>
  <c r="F94" i="32"/>
  <c r="G94" i="32"/>
  <c r="E94" i="32"/>
  <c r="F93" i="32"/>
  <c r="D93" i="32"/>
  <c r="G93" i="32"/>
  <c r="E93" i="32"/>
  <c r="G92" i="32"/>
  <c r="F91" i="32"/>
  <c r="G91" i="32"/>
  <c r="E91" i="32"/>
  <c r="F90" i="32"/>
  <c r="D90" i="32"/>
  <c r="G90" i="32"/>
  <c r="E90" i="32"/>
  <c r="G89" i="32"/>
  <c r="F88" i="32"/>
  <c r="G88" i="32"/>
  <c r="E88" i="32"/>
  <c r="F87" i="32"/>
  <c r="D87" i="32"/>
  <c r="G87" i="32"/>
  <c r="E87" i="32"/>
  <c r="G86" i="32"/>
  <c r="F85" i="32"/>
  <c r="G85" i="32"/>
  <c r="E85" i="32"/>
  <c r="F84" i="32"/>
  <c r="D84" i="32"/>
  <c r="G84" i="32"/>
  <c r="E84" i="32"/>
  <c r="G83" i="32"/>
  <c r="F82" i="32"/>
  <c r="G82" i="32"/>
  <c r="E82" i="32"/>
  <c r="F81" i="32"/>
  <c r="D81" i="32"/>
  <c r="G81" i="32"/>
  <c r="E81" i="32"/>
  <c r="G80" i="32"/>
  <c r="F79" i="32"/>
  <c r="G79" i="32"/>
  <c r="E79" i="32"/>
  <c r="F78" i="32"/>
  <c r="D78" i="32"/>
  <c r="G78" i="32"/>
  <c r="E78" i="32"/>
  <c r="G77" i="32"/>
  <c r="F76" i="32"/>
  <c r="G76" i="32"/>
  <c r="E76" i="32"/>
  <c r="F75" i="32"/>
  <c r="D75" i="32"/>
  <c r="G75" i="32"/>
  <c r="E75" i="32"/>
  <c r="G74" i="32"/>
  <c r="F73" i="32"/>
  <c r="G73" i="32"/>
  <c r="E73" i="32"/>
  <c r="F72" i="32"/>
  <c r="D72" i="32"/>
  <c r="G72" i="32"/>
  <c r="E72" i="32"/>
  <c r="G71" i="32"/>
  <c r="F70" i="32"/>
  <c r="G70" i="32"/>
  <c r="E70" i="32"/>
  <c r="F69" i="32"/>
  <c r="D69" i="32"/>
  <c r="G69" i="32"/>
  <c r="E69" i="32"/>
  <c r="G68" i="32"/>
  <c r="F67" i="32"/>
  <c r="G67" i="32"/>
  <c r="E67" i="32"/>
  <c r="F66" i="32"/>
  <c r="D66" i="32"/>
  <c r="G66" i="32"/>
  <c r="E66" i="32"/>
  <c r="G65" i="32"/>
  <c r="E64" i="32"/>
  <c r="F64" i="32"/>
  <c r="G64" i="32"/>
  <c r="E63" i="32"/>
  <c r="F63" i="32"/>
  <c r="G63" i="32"/>
  <c r="E62" i="32"/>
  <c r="F62" i="32"/>
  <c r="G62" i="32"/>
  <c r="F61" i="32"/>
  <c r="G61" i="32"/>
  <c r="E61" i="32"/>
  <c r="E60" i="32"/>
  <c r="F60" i="32"/>
  <c r="G60" i="32"/>
  <c r="F59" i="32"/>
  <c r="G59" i="32"/>
  <c r="E59" i="32"/>
  <c r="E58" i="32"/>
  <c r="F58" i="32"/>
  <c r="G58" i="32"/>
  <c r="E57" i="32"/>
  <c r="F57" i="32"/>
  <c r="G57" i="32"/>
  <c r="E56" i="32"/>
  <c r="F56" i="32"/>
  <c r="G56" i="32"/>
  <c r="F55" i="32"/>
  <c r="G55" i="32"/>
  <c r="E55" i="32"/>
  <c r="E54" i="32"/>
  <c r="F54" i="32"/>
  <c r="G54" i="32"/>
  <c r="E53" i="32"/>
  <c r="F53" i="32"/>
  <c r="G53" i="32"/>
  <c r="E52" i="32"/>
  <c r="F52" i="32"/>
  <c r="G52" i="32"/>
  <c r="F51" i="32"/>
  <c r="G51" i="32"/>
  <c r="E51" i="32"/>
  <c r="E50" i="32"/>
  <c r="F50" i="32"/>
  <c r="G50" i="32"/>
  <c r="E49" i="32"/>
  <c r="F49" i="32"/>
  <c r="G49" i="32"/>
  <c r="E48" i="32"/>
  <c r="F48" i="32"/>
  <c r="G48" i="32"/>
  <c r="F47" i="32"/>
  <c r="G47" i="32"/>
  <c r="E47" i="32"/>
  <c r="F46" i="32"/>
  <c r="G46" i="32"/>
  <c r="E46" i="32"/>
  <c r="E45" i="32"/>
  <c r="F45" i="32"/>
  <c r="G45" i="32"/>
  <c r="F44" i="32"/>
  <c r="G44" i="32"/>
  <c r="E44" i="32"/>
  <c r="E43" i="32"/>
  <c r="F43" i="32"/>
  <c r="G43" i="32"/>
  <c r="F42" i="32"/>
  <c r="G42" i="32"/>
  <c r="E42" i="32"/>
  <c r="F41" i="32"/>
  <c r="G41" i="32"/>
  <c r="E41" i="32"/>
  <c r="E40" i="32"/>
  <c r="F40" i="32"/>
  <c r="G40" i="32"/>
  <c r="E39" i="32"/>
  <c r="F39" i="32"/>
  <c r="G39" i="32"/>
  <c r="E38" i="32"/>
  <c r="F38" i="32"/>
  <c r="G38" i="32"/>
  <c r="F37" i="32"/>
  <c r="G37" i="32"/>
  <c r="E37" i="32"/>
  <c r="E36" i="32"/>
  <c r="F36" i="32"/>
  <c r="G36" i="32"/>
  <c r="E35" i="32"/>
  <c r="F35" i="32"/>
  <c r="G35" i="32"/>
  <c r="G34" i="32"/>
  <c r="E33" i="32"/>
  <c r="F33" i="32"/>
  <c r="G33" i="32"/>
  <c r="E32" i="32"/>
  <c r="F32" i="32"/>
  <c r="G32" i="32"/>
  <c r="F31" i="32"/>
  <c r="G31" i="32"/>
  <c r="E31" i="32"/>
  <c r="E30" i="32"/>
  <c r="F30" i="32"/>
  <c r="G30" i="32"/>
  <c r="E29" i="32"/>
  <c r="F29" i="32"/>
  <c r="G29" i="32"/>
  <c r="F28" i="32"/>
  <c r="G28" i="32"/>
  <c r="E28" i="32"/>
  <c r="F27" i="32"/>
  <c r="G27" i="32"/>
  <c r="E27" i="32"/>
  <c r="F26" i="32"/>
  <c r="G26" i="32"/>
  <c r="E26" i="32"/>
  <c r="E25" i="32"/>
  <c r="F25" i="32"/>
  <c r="G25" i="32"/>
  <c r="E24" i="32"/>
  <c r="F24" i="32"/>
  <c r="G24" i="32"/>
  <c r="F23" i="32"/>
  <c r="G23" i="32"/>
  <c r="E23" i="32"/>
  <c r="G22" i="32"/>
  <c r="F21" i="32"/>
  <c r="G21" i="32"/>
  <c r="E21" i="32"/>
  <c r="E20" i="32"/>
  <c r="F20" i="32"/>
  <c r="G20" i="32"/>
  <c r="F19" i="32"/>
  <c r="G19" i="32"/>
  <c r="E19" i="32"/>
  <c r="E18" i="32"/>
  <c r="F18" i="32"/>
  <c r="G18" i="32"/>
  <c r="F17" i="32"/>
  <c r="G17" i="32"/>
  <c r="E17" i="32"/>
  <c r="E16" i="32"/>
  <c r="F16" i="32"/>
  <c r="G16" i="32"/>
  <c r="F15" i="32"/>
  <c r="G15" i="32"/>
  <c r="E15" i="32"/>
  <c r="E14" i="32"/>
  <c r="F14" i="32"/>
  <c r="G14" i="32"/>
  <c r="F13" i="32"/>
  <c r="G13" i="32"/>
  <c r="E13" i="32"/>
  <c r="F12" i="32"/>
  <c r="G12" i="32"/>
  <c r="E12" i="32"/>
  <c r="F11" i="32"/>
  <c r="G11" i="32"/>
  <c r="E11" i="32"/>
  <c r="F10" i="32"/>
  <c r="G10" i="32"/>
  <c r="E10" i="32"/>
  <c r="F9" i="32"/>
  <c r="G9" i="32"/>
  <c r="E9" i="32"/>
</calcChain>
</file>

<file path=xl/sharedStrings.xml><?xml version="1.0" encoding="utf-8"?>
<sst xmlns="http://schemas.openxmlformats.org/spreadsheetml/2006/main" count="3552" uniqueCount="346">
  <si>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</si>
  <si>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</si>
  <si>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</si>
  <si>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</si>
  <si>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</si>
  <si>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</si>
  <si>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</si>
  <si>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</si>
  <si>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</si>
  <si>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</si>
  <si>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</si>
  <si>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</si>
  <si>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</si>
  <si>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</si>
  <si>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</si>
  <si>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</si>
  <si>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</si>
  <si>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</si>
  <si>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</si>
  <si>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</si>
  <si>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</si>
  <si>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</si>
  <si>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</si>
  <si>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</si>
  <si>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</si>
  <si>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</si>
  <si>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</si>
  <si>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</si>
  <si>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</si>
  <si>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</si>
  <si>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</si>
  <si>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</si>
  <si>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</si>
  <si>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</si>
  <si>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</si>
  <si>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</si>
  <si>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</si>
  <si>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</si>
  <si>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</si>
  <si>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</si>
  <si>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</si>
  <si>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</si>
  <si>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</si>
  <si>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</si>
  <si>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</si>
  <si>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</si>
  <si>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</si>
  <si>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</si>
  <si>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</si>
  <si>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</si>
  <si>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</si>
  <si>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</si>
  <si>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</si>
  <si>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</si>
  <si>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</si>
  <si>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</si>
  <si>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</si>
  <si>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</si>
  <si>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</si>
  <si>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</si>
  <si>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</si>
  <si>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</si>
  <si>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</si>
  <si>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</si>
  <si>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</si>
  <si>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</si>
  <si>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</si>
  <si>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</si>
  <si>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</si>
  <si>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</si>
  <si>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</si>
  <si>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</si>
  <si>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</si>
  <si>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</si>
  <si>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</si>
  <si>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</si>
  <si>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</si>
  <si>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</si>
  <si>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</si>
  <si>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</si>
  <si>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</si>
  <si>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</si>
  <si>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</si>
  <si>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</si>
  <si>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</si>
  <si>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</si>
  <si>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</si>
  <si>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</si>
  <si>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</si>
  <si>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</si>
  <si>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</si>
  <si>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</si>
  <si>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</si>
  <si>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</si>
  <si>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</si>
  <si>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</si>
  <si>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</si>
  <si>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</si>
  <si>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</si>
  <si>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</si>
  <si>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</si>
  <si>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</si>
  <si>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</si>
  <si>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</si>
  <si>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</si>
  <si>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</si>
  <si>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</si>
  <si>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</si>
  <si>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</si>
  <si>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</si>
  <si>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</si>
  <si>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</si>
  <si>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</si>
  <si>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</si>
  <si>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</si>
  <si>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</si>
  <si>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</si>
  <si>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</si>
  <si>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</si>
  <si>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</si>
  <si>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</si>
  <si>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</si>
  <si>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</si>
  <si>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</si>
  <si>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</si>
  <si>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</si>
  <si>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</si>
  <si>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</si>
  <si>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</si>
  <si>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</si>
  <si>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</si>
  <si>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</si>
  <si>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</si>
  <si>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</si>
  <si>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</si>
  <si>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</si>
  <si>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</si>
  <si>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</si>
  <si>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</si>
  <si>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</si>
  <si>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</si>
  <si>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</si>
  <si>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</si>
  <si>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</si>
  <si>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</si>
  <si>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</si>
  <si>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</si>
  <si>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</si>
  <si>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</si>
  <si>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</si>
  <si>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</si>
  <si>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</si>
  <si>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</si>
  <si>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</si>
  <si>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</si>
  <si>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</si>
  <si>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</si>
  <si>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</si>
  <si>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</si>
  <si>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</si>
  <si>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</si>
  <si>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</si>
  <si>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</si>
  <si>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</si>
  <si>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</si>
  <si>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</si>
  <si>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</si>
  <si>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</si>
  <si>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</si>
  <si>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</si>
  <si>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</si>
  <si>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</si>
  <si>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</si>
  <si>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</si>
  <si>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</si>
  <si>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</si>
  <si>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</si>
  <si>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</si>
  <si>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</si>
  <si>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</si>
  <si>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</si>
  <si>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</si>
  <si>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</si>
  <si>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</si>
  <si>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</si>
  <si>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</si>
  <si>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</si>
  <si>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</si>
  <si>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</si>
  <si>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</si>
  <si>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</si>
  <si>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</si>
  <si>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</si>
  <si>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</si>
  <si>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</si>
  <si>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</si>
  <si>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</si>
  <si>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</si>
  <si>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</si>
  <si>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</si>
  <si>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</si>
  <si>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</si>
  <si>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</si>
  <si>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</si>
  <si>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</si>
  <si>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</si>
  <si>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</si>
  <si>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</si>
  <si>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</si>
  <si>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</si>
  <si>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</si>
  <si>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</si>
  <si>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</si>
  <si>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</si>
  <si>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</si>
  <si>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</si>
  <si>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</si>
  <si>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</si>
  <si>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</si>
  <si>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</si>
  <si>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</si>
  <si>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</si>
  <si>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</si>
  <si>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</si>
  <si>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</si>
  <si>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</si>
  <si>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</si>
  <si>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</si>
  <si>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</si>
  <si>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</si>
  <si>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</si>
  <si>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</si>
  <si>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</si>
  <si>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</si>
  <si>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</si>
  <si>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</si>
  <si>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</si>
  <si>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</si>
  <si>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</si>
  <si>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</si>
  <si>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</si>
  <si>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</si>
  <si>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</si>
  <si>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</si>
  <si>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</si>
  <si>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</si>
  <si>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</si>
  <si>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</si>
  <si>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</si>
  <si>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</si>
  <si>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</si>
  <si>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</si>
  <si>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</si>
  <si>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</si>
  <si>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</si>
  <si>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</si>
  <si>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</si>
  <si>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</si>
  <si>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</si>
  <si>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</si>
  <si>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</si>
  <si>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</si>
  <si>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</si>
  <si>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</si>
  <si>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</si>
  <si>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</si>
  <si>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</si>
  <si>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</si>
  <si>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</si>
  <si>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</si>
  <si>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</si>
  <si>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</si>
  <si>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</si>
  <si>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</si>
  <si>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</si>
  <si>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5=4-3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</si>
  <si>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</si>
  <si>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</si>
  <si>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</si>
  <si>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</si>
  <si>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</si>
  <si>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</si>
  <si>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</si>
  <si>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</si>
  <si>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</si>
  <si>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</si>
  <si>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</si>
  <si>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</si>
  <si>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</si>
  <si>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</si>
  <si>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</si>
  <si>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</si>
  <si>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</si>
  <si>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</si>
  <si>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</si>
  <si>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</si>
  <si>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</si>
  <si>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</si>
  <si>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</si>
  <si>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</si>
  <si>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</si>
  <si>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</si>
  <si>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</si>
  <si>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</si>
  <si>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</si>
  <si>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48 10 12</t>
  </si>
  <si>
    <t>48 10 12 03</t>
  </si>
  <si>
    <t>Programe din Fondul de Coeziune (FC)</t>
  </si>
  <si>
    <t>Director DEF</t>
  </si>
  <si>
    <t>Liliana MICHINECI</t>
  </si>
  <si>
    <t>45 10 16 02</t>
  </si>
  <si>
    <t>10 01 05</t>
  </si>
  <si>
    <t>Sporuri pentru conditii de munca</t>
  </si>
  <si>
    <t>58 12 03</t>
  </si>
  <si>
    <t>Deficit an 2020     =   66.728 mii lei</t>
  </si>
  <si>
    <t>%</t>
  </si>
  <si>
    <t>5=4/3</t>
  </si>
  <si>
    <t>85 01</t>
  </si>
  <si>
    <t>Plati efectuate in anii precedenti si recuperate in anul curent</t>
  </si>
  <si>
    <t>INFLUENŢE
  (+/ -)</t>
  </si>
  <si>
    <t>Alte  active fixe</t>
  </si>
  <si>
    <t>58.16</t>
  </si>
  <si>
    <t>Liliana Mocanu</t>
  </si>
  <si>
    <t>BUGETUL DE VENITURI SI CHELTUIELI 
PE ANUL 2022</t>
  </si>
  <si>
    <t>PROGRAM 
2022</t>
  </si>
  <si>
    <t>42 10 89</t>
  </si>
  <si>
    <t>Alocări de sume din PNRR aferente componentei împrumuturi</t>
  </si>
  <si>
    <t>42 10 89 01</t>
  </si>
  <si>
    <t>Fonduri din împrumut rambursabil</t>
  </si>
  <si>
    <t>42 10 89 02</t>
  </si>
  <si>
    <t>Finanțare publică națională</t>
  </si>
  <si>
    <t>42 10 89 03</t>
  </si>
  <si>
    <t>Sume aferente TVA</t>
  </si>
  <si>
    <t>IV. CHELTUIELI AFERERENTE COMPONENTEI DE ÎMPRUMUT A PNRR</t>
  </si>
  <si>
    <t>PROIECTE CU FINANTARE DIN SUMELE AFERENTE COMPONENTEI DE ÎMPRUMUT A PNRR</t>
  </si>
  <si>
    <t>61.01</t>
  </si>
  <si>
    <t>61.02</t>
  </si>
  <si>
    <t>61.03</t>
  </si>
  <si>
    <t>*) Deficitul pentru anul 2022 va fi acoperit din excedentul anilor anteriori, astfel:</t>
  </si>
  <si>
    <t>Excedent an 2021  = 213.359 mii lei</t>
  </si>
  <si>
    <t>TOTAL                    =    260.464 mii lei</t>
  </si>
  <si>
    <t>Șef Serviciu AEPEB</t>
  </si>
  <si>
    <t>Reparatii capitale</t>
  </si>
  <si>
    <t>EXECUTIA LA 31.08.2022</t>
  </si>
  <si>
    <t>PROGRAM 2022 APROBAT 
CF. H.G.
 nr. 1160/2022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</si>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</sst>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3" fontId="7" fillId="0" borderId="1" xfId="1" applyNumberFormat="1" applyFont="1" applyBorder="1" applyAlignment="1">
      <alignment horizontal="center" vertical="top" wrapText="1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3" fontId="14" fillId="7" borderId="1" xfId="0" applyNumberFormat="1" applyFont="1" applyFill="1" applyBorder="1" applyAlignment="1">
      <alignment vertical="top"/>
    </xf>
    <xf numFmtId="0" fontId="17" fillId="0" borderId="0" xfId="0" applyFont="1" applyAlignment="1">
      <alignment horizontal="left" vertical="center"/>
    </xf>
    <xf numFmtId="0" fontId="14" fillId="0" borderId="0" xfId="0" applyFont="1"/>
    <xf numFmtId="0" fontId="18" fillId="0" borderId="0" xfId="0" applyFont="1" applyAlignment="1">
      <alignment horizontal="right"/>
    </xf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3" fontId="19" fillId="0" borderId="0" xfId="0" applyNumberFormat="1" applyFont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quotePrefix="1" applyNumberFormat="1" applyFont="1" applyFill="1" applyBorder="1" applyAlignment="1">
      <alignment horizontal="center" vertical="center"/>
    </xf>
    <xf numFmtId="3" fontId="7" fillId="6" borderId="0" xfId="1" applyNumberFormat="1" applyFont="1" applyFill="1" applyAlignment="1">
      <alignment vertical="top" wrapText="1"/>
    </xf>
    <xf numFmtId="3" fontId="7" fillId="7" borderId="1" xfId="2" applyNumberFormat="1" applyFont="1" applyFill="1" applyBorder="1" applyAlignment="1" applyProtection="1">
      <alignment vertical="top" wrapText="1"/>
      <protection locked="0"/>
    </xf>
    <xf numFmtId="0" fontId="20" fillId="0" borderId="0" xfId="0" applyFont="1"/>
    <xf numFmtId="49" fontId="7" fillId="7" borderId="1" xfId="0" applyNumberFormat="1" applyFont="1" applyFill="1" applyBorder="1" applyAlignment="1" applyProtection="1">
      <alignment horizontal="center" vertical="top"/>
      <protection locked="0"/>
    </xf>
    <xf numFmtId="3" fontId="7" fillId="7" borderId="1" xfId="0" applyNumberFormat="1" applyFont="1" applyFill="1" applyBorder="1" applyAlignment="1" applyProtection="1">
      <alignment horizontal="center" vertical="top"/>
      <protection locked="0"/>
    </xf>
    <xf numFmtId="3" fontId="7" fillId="7" borderId="1" xfId="1" applyNumberFormat="1" applyFont="1" applyFill="1" applyBorder="1" applyAlignment="1" applyProtection="1">
      <alignment horizontal="left" vertical="top" wrapText="1"/>
      <protection locked="0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left" vertical="top" wrapText="1"/>
    </xf>
    <xf numFmtId="3" fontId="7" fillId="7" borderId="1" xfId="0" applyNumberFormat="1" applyFont="1" applyFill="1" applyBorder="1" applyAlignment="1">
      <alignment vertical="top" wrapText="1"/>
    </xf>
    <xf numFmtId="3" fontId="0" fillId="3" borderId="0" xfId="0" applyNumberFormat="1" applyFill="1"/>
    <xf numFmtId="38" fontId="0" fillId="0" borderId="1" xfId="0" applyNumberFormat="1" applyBorder="1"/>
    <xf numFmtId="3" fontId="0" fillId="0" borderId="0" xfId="0" applyNumberFormat="1"/>
    <xf numFmtId="3" fontId="7" fillId="7" borderId="1" xfId="2" applyNumberFormat="1" applyFont="1" applyFill="1" applyBorder="1" applyAlignment="1" applyProtection="1">
      <alignment vertical="center" wrapText="1"/>
      <protection locked="0"/>
    </xf>
    <xf numFmtId="3" fontId="7" fillId="7" borderId="1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3" fontId="16" fillId="0" borderId="0" xfId="0" applyNumberFormat="1" applyFont="1"/>
    <xf numFmtId="3" fontId="7" fillId="7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15469</xdr:colOff>
      <xdr:row>86</xdr:row>
      <xdr:rowOff>72845</xdr:rowOff>
    </xdr:from>
    <xdr:ext cx="6870906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157215">
          <a:off x="15469" y="17179745"/>
          <a:ext cx="6870906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215</xdr:row>
      <xdr:rowOff>141683</xdr:rowOff>
    </xdr:from>
    <xdr:ext cx="7768069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9559308"/>
          <a:ext cx="7768069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54785</xdr:colOff>
      <xdr:row>294</xdr:row>
      <xdr:rowOff>40504</xdr:rowOff>
    </xdr:from>
    <xdr:ext cx="7374722" cy="1862491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54785" y="53870361"/>
          <a:ext cx="7374722" cy="186249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378</xdr:row>
      <xdr:rowOff>177032</xdr:rowOff>
    </xdr:from>
    <xdr:ext cx="6993759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68898546"/>
          <a:ext cx="6993759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427</xdr:row>
      <xdr:rowOff>110543</xdr:rowOff>
    </xdr:from>
    <xdr:ext cx="7250002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78215543"/>
          <a:ext cx="725000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124410</xdr:rowOff>
    </xdr:from>
    <xdr:ext cx="7974783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79C83C6-39A4-417D-9236-58D7B577751E}"/>
            </a:ext>
          </a:extLst>
        </xdr:cNvPr>
        <xdr:cNvSpPr/>
      </xdr:nvSpPr>
      <xdr:spPr>
        <a:xfrm rot="20008920">
          <a:off x="0" y="6041816"/>
          <a:ext cx="7974783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106655</xdr:colOff>
      <xdr:row>97</xdr:row>
      <xdr:rowOff>131741</xdr:rowOff>
    </xdr:from>
    <xdr:ext cx="6809320" cy="162378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0F0C9E7-F8DF-479F-9CA4-9B06128277A9}"/>
            </a:ext>
          </a:extLst>
        </xdr:cNvPr>
        <xdr:cNvSpPr/>
      </xdr:nvSpPr>
      <xdr:spPr>
        <a:xfrm rot="18961189">
          <a:off x="106655" y="21074835"/>
          <a:ext cx="6809320" cy="1623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2</xdr:col>
      <xdr:colOff>1126408</xdr:colOff>
      <xdr:row>147</xdr:row>
      <xdr:rowOff>192899</xdr:rowOff>
    </xdr:from>
    <xdr:ext cx="1953321" cy="1163569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A5CA269-6E07-46C8-963A-88E06ADA02A0}"/>
            </a:ext>
          </a:extLst>
        </xdr:cNvPr>
        <xdr:cNvSpPr/>
      </xdr:nvSpPr>
      <xdr:spPr>
        <a:xfrm rot="18773243">
          <a:off x="-2416995" y="34930677"/>
          <a:ext cx="11635690" cy="19533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89653</xdr:colOff>
      <xdr:row>250</xdr:row>
      <xdr:rowOff>20818</xdr:rowOff>
    </xdr:from>
    <xdr:ext cx="7377517" cy="2908095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BE34CE1-D840-4AF0-BC27-0278282EC01F}"/>
            </a:ext>
          </a:extLst>
        </xdr:cNvPr>
        <xdr:cNvSpPr/>
      </xdr:nvSpPr>
      <xdr:spPr>
        <a:xfrm rot="20310954">
          <a:off x="89653" y="49800849"/>
          <a:ext cx="7377517" cy="290809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291</xdr:row>
      <xdr:rowOff>13298</xdr:rowOff>
    </xdr:from>
    <xdr:ext cx="6838860" cy="687780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BD894AE-22FD-4ABD-BC08-4F51157CFEF3}"/>
            </a:ext>
          </a:extLst>
        </xdr:cNvPr>
        <xdr:cNvSpPr/>
      </xdr:nvSpPr>
      <xdr:spPr>
        <a:xfrm rot="20008920">
          <a:off x="0" y="58032454"/>
          <a:ext cx="6838860" cy="6877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0" cap="none" spc="0">
            <a:ln w="0"/>
            <a:solidFill>
              <a:schemeClr val="bg1">
                <a:lumMod val="65000"/>
                <a:alpha val="58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318</xdr:row>
      <xdr:rowOff>21512</xdr:rowOff>
    </xdr:from>
    <xdr:ext cx="8400688" cy="3104848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D93756A-FDFD-414F-9204-DB2F81535594}"/>
            </a:ext>
          </a:extLst>
        </xdr:cNvPr>
        <xdr:cNvSpPr/>
      </xdr:nvSpPr>
      <xdr:spPr>
        <a:xfrm rot="20008920">
          <a:off x="0" y="63588981"/>
          <a:ext cx="8400688" cy="31048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396</xdr:row>
      <xdr:rowOff>45765</xdr:rowOff>
    </xdr:from>
    <xdr:ext cx="7981502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0C82BFF-5F6B-47BA-AF73-D34B85DD9C46}"/>
            </a:ext>
          </a:extLst>
        </xdr:cNvPr>
        <xdr:cNvSpPr/>
      </xdr:nvSpPr>
      <xdr:spPr>
        <a:xfrm rot="20008920">
          <a:off x="0" y="77928515"/>
          <a:ext cx="798150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459</xdr:row>
      <xdr:rowOff>71673</xdr:rowOff>
    </xdr:from>
    <xdr:ext cx="8472756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3D51AA3-EC0A-46D0-B16E-5DD2F88F8281}"/>
            </a:ext>
          </a:extLst>
        </xdr:cNvPr>
        <xdr:cNvSpPr/>
      </xdr:nvSpPr>
      <xdr:spPr>
        <a:xfrm rot="20008920">
          <a:off x="0" y="83153486"/>
          <a:ext cx="8472756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115154</xdr:rowOff>
    </xdr:from>
    <xdr:ext cx="6841913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4CBEFC-F6D1-4E71-8D87-1FBBA3AF111C}"/>
            </a:ext>
          </a:extLst>
        </xdr:cNvPr>
        <xdr:cNvSpPr/>
      </xdr:nvSpPr>
      <xdr:spPr>
        <a:xfrm rot="19501736">
          <a:off x="0" y="6189173"/>
          <a:ext cx="6841913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50056</xdr:colOff>
      <xdr:row>118</xdr:row>
      <xdr:rowOff>54239</xdr:rowOff>
    </xdr:from>
    <xdr:ext cx="7662572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07BC70-1E28-4819-AB49-EC9631F3964D}"/>
            </a:ext>
          </a:extLst>
        </xdr:cNvPr>
        <xdr:cNvSpPr/>
      </xdr:nvSpPr>
      <xdr:spPr>
        <a:xfrm rot="20008920">
          <a:off x="50056" y="23993739"/>
          <a:ext cx="766257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169</xdr:row>
      <xdr:rowOff>115717</xdr:rowOff>
    </xdr:from>
    <xdr:ext cx="7024432" cy="258406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C23BA08-B67A-4E37-A494-5981FD3DAB7B}"/>
            </a:ext>
          </a:extLst>
        </xdr:cNvPr>
        <xdr:cNvSpPr/>
      </xdr:nvSpPr>
      <xdr:spPr>
        <a:xfrm rot="20008920">
          <a:off x="0" y="33326217"/>
          <a:ext cx="7024432" cy="258406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255</xdr:row>
      <xdr:rowOff>180591</xdr:rowOff>
    </xdr:from>
    <xdr:ext cx="6684239" cy="23788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BE9A173-E9DC-464A-BD21-9C0BF24BA244}"/>
            </a:ext>
          </a:extLst>
        </xdr:cNvPr>
        <xdr:cNvSpPr/>
      </xdr:nvSpPr>
      <xdr:spPr>
        <a:xfrm rot="20008920">
          <a:off x="0" y="49774091"/>
          <a:ext cx="6684239" cy="237883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536493</xdr:colOff>
      <xdr:row>364</xdr:row>
      <xdr:rowOff>123068</xdr:rowOff>
    </xdr:from>
    <xdr:ext cx="6361280" cy="210129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C0402CB-C60D-4D4B-9141-71F83D93EF62}"/>
            </a:ext>
          </a:extLst>
        </xdr:cNvPr>
        <xdr:cNvSpPr/>
      </xdr:nvSpPr>
      <xdr:spPr>
        <a:xfrm rot="19047843">
          <a:off x="536493" y="61718068"/>
          <a:ext cx="6361280" cy="21012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613397</xdr:colOff>
      <xdr:row>412</xdr:row>
      <xdr:rowOff>16905</xdr:rowOff>
    </xdr:from>
    <xdr:ext cx="6974415" cy="155599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6AAAA06-E342-4152-BA94-9E92EC2810E1}"/>
            </a:ext>
          </a:extLst>
        </xdr:cNvPr>
        <xdr:cNvSpPr/>
      </xdr:nvSpPr>
      <xdr:spPr>
        <a:xfrm rot="20733767">
          <a:off x="613397" y="69612905"/>
          <a:ext cx="6974415" cy="155599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0" cap="none" spc="0">
            <a:ln w="0"/>
            <a:solidFill>
              <a:schemeClr val="bg1">
                <a:lumMod val="65000"/>
                <a:alpha val="58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433</xdr:row>
      <xdr:rowOff>142748</xdr:rowOff>
    </xdr:from>
    <xdr:ext cx="8607905" cy="5266860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8FD4A5A-A180-4BB6-81DE-5D04E6E255DF}"/>
            </a:ext>
          </a:extLst>
        </xdr:cNvPr>
        <xdr:cNvSpPr/>
      </xdr:nvSpPr>
      <xdr:spPr>
        <a:xfrm rot="20008920">
          <a:off x="0" y="73802748"/>
          <a:ext cx="8607905" cy="5266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1</xdr:col>
      <xdr:colOff>0</xdr:colOff>
      <xdr:row>510</xdr:row>
      <xdr:rowOff>0</xdr:rowOff>
    </xdr:from>
    <xdr:ext cx="8607905" cy="5266860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7EA3ECD-E2CB-458D-AC13-A62EA667F3FD}"/>
            </a:ext>
          </a:extLst>
        </xdr:cNvPr>
        <xdr:cNvSpPr/>
      </xdr:nvSpPr>
      <xdr:spPr>
        <a:xfrm rot="19294067">
          <a:off x="711200" y="87274400"/>
          <a:ext cx="8607905" cy="5266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Anexa%20HG%20BVC%202022%20ANAR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C 2022 "/>
      <sheetName val="Influente bvc 2022 vs 2022 init"/>
      <sheetName val="Ex 2022 vs bvc 2022 "/>
    </sheetNames>
    <sheetDataSet>
      <sheetData sheetId="0">
        <row r="14">
          <cell r="D14">
            <v>1257</v>
          </cell>
        </row>
        <row r="16">
          <cell r="D16">
            <v>113</v>
          </cell>
        </row>
        <row r="18">
          <cell r="D18">
            <v>1004898</v>
          </cell>
        </row>
        <row r="20">
          <cell r="D20">
            <v>359</v>
          </cell>
        </row>
        <row r="24">
          <cell r="D24">
            <v>7960</v>
          </cell>
        </row>
        <row r="25">
          <cell r="D25">
            <v>1422</v>
          </cell>
        </row>
        <row r="29">
          <cell r="D29">
            <v>900</v>
          </cell>
        </row>
        <row r="30">
          <cell r="D30">
            <v>38500</v>
          </cell>
        </row>
        <row r="32">
          <cell r="D32">
            <v>122100</v>
          </cell>
        </row>
        <row r="33">
          <cell r="D33">
            <v>0</v>
          </cell>
        </row>
        <row r="35">
          <cell r="D35">
            <v>225</v>
          </cell>
        </row>
        <row r="36">
          <cell r="D36">
            <v>529313</v>
          </cell>
        </row>
        <row r="38">
          <cell r="D38">
            <v>25036</v>
          </cell>
        </row>
        <row r="40">
          <cell r="D40">
            <v>4537</v>
          </cell>
        </row>
        <row r="43">
          <cell r="D43">
            <v>0</v>
          </cell>
        </row>
        <row r="45">
          <cell r="D45">
            <v>7</v>
          </cell>
        </row>
        <row r="48">
          <cell r="D48">
            <v>2537</v>
          </cell>
        </row>
        <row r="49">
          <cell r="D49">
            <v>471</v>
          </cell>
        </row>
        <row r="52">
          <cell r="D52">
            <v>1842</v>
          </cell>
        </row>
        <row r="53">
          <cell r="D53">
            <v>1301</v>
          </cell>
        </row>
        <row r="57">
          <cell r="D57">
            <v>4980</v>
          </cell>
        </row>
        <row r="60">
          <cell r="D60">
            <v>381</v>
          </cell>
        </row>
        <row r="62">
          <cell r="D62">
            <v>120</v>
          </cell>
        </row>
        <row r="63">
          <cell r="D63">
            <v>9665</v>
          </cell>
        </row>
        <row r="64">
          <cell r="D64">
            <v>18</v>
          </cell>
        </row>
        <row r="117">
          <cell r="D117">
            <v>591258</v>
          </cell>
        </row>
        <row r="118">
          <cell r="D118">
            <v>591258</v>
          </cell>
        </row>
        <row r="120">
          <cell r="D120">
            <v>142</v>
          </cell>
        </row>
        <row r="121">
          <cell r="D121">
            <v>142</v>
          </cell>
        </row>
        <row r="123">
          <cell r="D123">
            <v>6366</v>
          </cell>
        </row>
        <row r="124">
          <cell r="D124">
            <v>6366</v>
          </cell>
        </row>
        <row r="126">
          <cell r="D126">
            <v>1614</v>
          </cell>
        </row>
        <row r="127">
          <cell r="D127">
            <v>1614</v>
          </cell>
        </row>
        <row r="129">
          <cell r="D129">
            <v>1139</v>
          </cell>
        </row>
        <row r="130">
          <cell r="D130">
            <v>1139</v>
          </cell>
        </row>
        <row r="135">
          <cell r="D135">
            <v>31292</v>
          </cell>
        </row>
        <row r="136">
          <cell r="D136">
            <v>31292</v>
          </cell>
        </row>
        <row r="138">
          <cell r="D138">
            <v>7335</v>
          </cell>
        </row>
        <row r="139">
          <cell r="D139">
            <v>7335</v>
          </cell>
        </row>
        <row r="144">
          <cell r="D144">
            <v>12490</v>
          </cell>
        </row>
        <row r="145">
          <cell r="D145">
            <v>12490</v>
          </cell>
        </row>
        <row r="150">
          <cell r="D150">
            <v>764</v>
          </cell>
        </row>
        <row r="151">
          <cell r="D151">
            <v>764</v>
          </cell>
        </row>
        <row r="153">
          <cell r="D153">
            <v>38</v>
          </cell>
        </row>
        <row r="154">
          <cell r="D154">
            <v>38</v>
          </cell>
        </row>
        <row r="156">
          <cell r="D156">
            <v>258</v>
          </cell>
        </row>
        <row r="157">
          <cell r="D157">
            <v>258</v>
          </cell>
        </row>
        <row r="159">
          <cell r="D159">
            <v>18</v>
          </cell>
        </row>
        <row r="160">
          <cell r="D160">
            <v>18</v>
          </cell>
        </row>
        <row r="165">
          <cell r="D165">
            <v>44</v>
          </cell>
        </row>
        <row r="166">
          <cell r="D166">
            <v>44</v>
          </cell>
        </row>
        <row r="168">
          <cell r="D168">
            <v>14313</v>
          </cell>
        </row>
        <row r="169">
          <cell r="D169">
            <v>14313</v>
          </cell>
        </row>
        <row r="171">
          <cell r="D171">
            <v>132</v>
          </cell>
        </row>
        <row r="172">
          <cell r="D172">
            <v>132</v>
          </cell>
        </row>
        <row r="180">
          <cell r="D180">
            <v>1570</v>
          </cell>
        </row>
        <row r="181">
          <cell r="D181">
            <v>1570</v>
          </cell>
        </row>
        <row r="183">
          <cell r="D183">
            <v>820</v>
          </cell>
        </row>
        <row r="184">
          <cell r="D184">
            <v>820</v>
          </cell>
        </row>
        <row r="186">
          <cell r="D186">
            <v>34222</v>
          </cell>
        </row>
        <row r="187">
          <cell r="D187">
            <v>34222</v>
          </cell>
        </row>
        <row r="189">
          <cell r="D189">
            <v>1764</v>
          </cell>
        </row>
        <row r="190">
          <cell r="D190">
            <v>1764</v>
          </cell>
        </row>
        <row r="192">
          <cell r="D192">
            <v>28511</v>
          </cell>
        </row>
        <row r="193">
          <cell r="D193">
            <v>28511</v>
          </cell>
        </row>
        <row r="195">
          <cell r="D195">
            <v>12173</v>
          </cell>
        </row>
        <row r="196">
          <cell r="D196">
            <v>12173</v>
          </cell>
        </row>
        <row r="198">
          <cell r="D198">
            <v>299</v>
          </cell>
        </row>
        <row r="199">
          <cell r="D199">
            <v>299</v>
          </cell>
        </row>
        <row r="201">
          <cell r="D201">
            <v>5547</v>
          </cell>
        </row>
        <row r="202">
          <cell r="D202">
            <v>5547</v>
          </cell>
        </row>
        <row r="204">
          <cell r="D204">
            <v>17592</v>
          </cell>
        </row>
        <row r="205">
          <cell r="D205">
            <v>17592</v>
          </cell>
        </row>
        <row r="207">
          <cell r="D207">
            <v>24966</v>
          </cell>
        </row>
        <row r="208">
          <cell r="D208">
            <v>24966</v>
          </cell>
        </row>
        <row r="210">
          <cell r="D210">
            <v>23765</v>
          </cell>
        </row>
        <row r="211">
          <cell r="D211">
            <v>23765</v>
          </cell>
        </row>
        <row r="216">
          <cell r="D216">
            <v>421</v>
          </cell>
        </row>
        <row r="217">
          <cell r="D217">
            <v>421</v>
          </cell>
        </row>
        <row r="222">
          <cell r="D222">
            <v>13</v>
          </cell>
        </row>
        <row r="223">
          <cell r="D223">
            <v>13</v>
          </cell>
        </row>
        <row r="225">
          <cell r="D225">
            <v>98</v>
          </cell>
        </row>
        <row r="226">
          <cell r="D226">
            <v>98</v>
          </cell>
        </row>
        <row r="228">
          <cell r="D228">
            <v>1550</v>
          </cell>
        </row>
        <row r="229">
          <cell r="D229">
            <v>1550</v>
          </cell>
        </row>
        <row r="231">
          <cell r="D231">
            <v>38</v>
          </cell>
        </row>
        <row r="232">
          <cell r="D232">
            <v>38</v>
          </cell>
        </row>
        <row r="237">
          <cell r="D237">
            <v>1342</v>
          </cell>
        </row>
        <row r="238">
          <cell r="D238">
            <v>1342</v>
          </cell>
        </row>
        <row r="240">
          <cell r="D240">
            <v>89</v>
          </cell>
        </row>
        <row r="241">
          <cell r="D241">
            <v>89</v>
          </cell>
        </row>
        <row r="243">
          <cell r="D243">
            <v>4004</v>
          </cell>
        </row>
        <row r="244">
          <cell r="D244">
            <v>4004</v>
          </cell>
        </row>
        <row r="249">
          <cell r="D249">
            <v>2543</v>
          </cell>
        </row>
        <row r="250">
          <cell r="D250">
            <v>2543</v>
          </cell>
        </row>
        <row r="252">
          <cell r="D252">
            <v>270</v>
          </cell>
        </row>
        <row r="253">
          <cell r="D253">
            <v>270</v>
          </cell>
        </row>
        <row r="255">
          <cell r="D255">
            <v>1676</v>
          </cell>
        </row>
        <row r="256">
          <cell r="D256">
            <v>1676</v>
          </cell>
        </row>
        <row r="258">
          <cell r="D258">
            <v>235</v>
          </cell>
        </row>
        <row r="259">
          <cell r="D259">
            <v>235</v>
          </cell>
        </row>
        <row r="261">
          <cell r="D261">
            <v>2115</v>
          </cell>
        </row>
        <row r="262">
          <cell r="D262">
            <v>2115</v>
          </cell>
        </row>
        <row r="264">
          <cell r="D264">
            <v>1951</v>
          </cell>
        </row>
        <row r="265">
          <cell r="D265">
            <v>1951</v>
          </cell>
        </row>
        <row r="267">
          <cell r="D267">
            <v>1991</v>
          </cell>
        </row>
        <row r="268">
          <cell r="D268">
            <v>1991</v>
          </cell>
        </row>
        <row r="270">
          <cell r="D270">
            <v>3405</v>
          </cell>
        </row>
        <row r="271">
          <cell r="D271">
            <v>3405</v>
          </cell>
        </row>
        <row r="273">
          <cell r="D273">
            <v>1424</v>
          </cell>
        </row>
        <row r="274">
          <cell r="D274">
            <v>1424</v>
          </cell>
        </row>
        <row r="276">
          <cell r="D276">
            <v>598</v>
          </cell>
        </row>
        <row r="277">
          <cell r="D277">
            <v>598</v>
          </cell>
        </row>
        <row r="285">
          <cell r="D285">
            <v>1891</v>
          </cell>
        </row>
        <row r="286">
          <cell r="D286">
            <v>1891</v>
          </cell>
        </row>
        <row r="291">
          <cell r="D291">
            <v>945</v>
          </cell>
        </row>
        <row r="292">
          <cell r="D292">
            <v>945</v>
          </cell>
        </row>
        <row r="294">
          <cell r="D294">
            <v>872</v>
          </cell>
        </row>
        <row r="295">
          <cell r="D295">
            <v>872</v>
          </cell>
        </row>
        <row r="297">
          <cell r="D297">
            <v>2308</v>
          </cell>
        </row>
        <row r="298">
          <cell r="D298">
            <v>2308</v>
          </cell>
        </row>
        <row r="300">
          <cell r="D300">
            <v>3361</v>
          </cell>
        </row>
        <row r="301">
          <cell r="D301">
            <v>3361</v>
          </cell>
        </row>
        <row r="303">
          <cell r="D303">
            <v>7</v>
          </cell>
        </row>
        <row r="304">
          <cell r="D304">
            <v>7</v>
          </cell>
        </row>
        <row r="306">
          <cell r="D306">
            <v>179480</v>
          </cell>
        </row>
        <row r="307">
          <cell r="D307">
            <v>179480</v>
          </cell>
        </row>
        <row r="324">
          <cell r="D324">
            <v>3</v>
          </cell>
        </row>
        <row r="325">
          <cell r="D325">
            <v>161</v>
          </cell>
        </row>
        <row r="327">
          <cell r="D327">
            <v>579</v>
          </cell>
        </row>
        <row r="328">
          <cell r="D328">
            <v>1465</v>
          </cell>
        </row>
        <row r="330">
          <cell r="D330">
            <v>5</v>
          </cell>
        </row>
        <row r="331">
          <cell r="D331">
            <v>202</v>
          </cell>
        </row>
        <row r="339">
          <cell r="D339">
            <v>4041</v>
          </cell>
        </row>
        <row r="340">
          <cell r="D340">
            <v>4041</v>
          </cell>
        </row>
        <row r="345">
          <cell r="D345">
            <v>38</v>
          </cell>
        </row>
        <row r="346">
          <cell r="D346">
            <v>38</v>
          </cell>
        </row>
        <row r="348">
          <cell r="D348">
            <v>212</v>
          </cell>
        </row>
        <row r="349">
          <cell r="D349">
            <v>469</v>
          </cell>
        </row>
        <row r="354">
          <cell r="D354">
            <v>54</v>
          </cell>
        </row>
        <row r="355">
          <cell r="D355">
            <v>54</v>
          </cell>
        </row>
        <row r="357">
          <cell r="D357">
            <v>195</v>
          </cell>
        </row>
        <row r="358">
          <cell r="D358">
            <v>195</v>
          </cell>
        </row>
        <row r="360">
          <cell r="D360">
            <v>38</v>
          </cell>
        </row>
        <row r="361">
          <cell r="D361">
            <v>38</v>
          </cell>
        </row>
        <row r="366">
          <cell r="D366">
            <v>38</v>
          </cell>
        </row>
        <row r="367">
          <cell r="D367">
            <v>38</v>
          </cell>
        </row>
        <row r="369">
          <cell r="D369">
            <v>275</v>
          </cell>
        </row>
        <row r="370">
          <cell r="D370">
            <v>275</v>
          </cell>
        </row>
        <row r="378">
          <cell r="D378">
            <v>50</v>
          </cell>
        </row>
        <row r="379">
          <cell r="D379">
            <v>50</v>
          </cell>
        </row>
        <row r="381">
          <cell r="D381">
            <v>8045</v>
          </cell>
        </row>
        <row r="382">
          <cell r="D382">
            <v>8045</v>
          </cell>
        </row>
        <row r="393">
          <cell r="D393">
            <v>56636</v>
          </cell>
        </row>
        <row r="394">
          <cell r="D394">
            <v>49638</v>
          </cell>
        </row>
        <row r="396">
          <cell r="D396">
            <v>22490</v>
          </cell>
        </row>
        <row r="397">
          <cell r="D397">
            <v>22490</v>
          </cell>
        </row>
        <row r="399">
          <cell r="D399">
            <v>324</v>
          </cell>
        </row>
        <row r="400">
          <cell r="D400">
            <v>324</v>
          </cell>
        </row>
        <row r="402">
          <cell r="D402">
            <v>3447</v>
          </cell>
        </row>
        <row r="403">
          <cell r="D403">
            <v>3447</v>
          </cell>
        </row>
        <row r="405">
          <cell r="D405">
            <v>36794</v>
          </cell>
        </row>
        <row r="406">
          <cell r="D406">
            <v>24998</v>
          </cell>
        </row>
        <row r="423">
          <cell r="D423">
            <v>225</v>
          </cell>
        </row>
        <row r="424">
          <cell r="D424">
            <v>225</v>
          </cell>
        </row>
        <row r="432">
          <cell r="D432">
            <v>522</v>
          </cell>
        </row>
        <row r="433">
          <cell r="D433">
            <v>1053</v>
          </cell>
        </row>
        <row r="435">
          <cell r="D435">
            <v>2954</v>
          </cell>
        </row>
        <row r="436">
          <cell r="D436">
            <v>5972</v>
          </cell>
        </row>
        <row r="444">
          <cell r="D444">
            <v>440613</v>
          </cell>
        </row>
        <row r="445">
          <cell r="D445">
            <v>66410</v>
          </cell>
        </row>
        <row r="447">
          <cell r="D447">
            <v>2495232</v>
          </cell>
        </row>
        <row r="448">
          <cell r="D448">
            <v>376334</v>
          </cell>
        </row>
        <row r="450">
          <cell r="D450">
            <v>465287</v>
          </cell>
        </row>
        <row r="451">
          <cell r="D451">
            <v>79544</v>
          </cell>
        </row>
        <row r="456">
          <cell r="D456">
            <v>300309</v>
          </cell>
        </row>
        <row r="457">
          <cell r="D457">
            <v>25036</v>
          </cell>
        </row>
        <row r="459">
          <cell r="D459">
            <v>0</v>
          </cell>
        </row>
        <row r="460">
          <cell r="D460">
            <v>0</v>
          </cell>
        </row>
        <row r="462">
          <cell r="D462">
            <v>55025</v>
          </cell>
        </row>
        <row r="463">
          <cell r="D463">
            <v>4537</v>
          </cell>
        </row>
        <row r="468">
          <cell r="D468">
            <v>55906</v>
          </cell>
        </row>
        <row r="469">
          <cell r="D469">
            <v>38500</v>
          </cell>
        </row>
        <row r="480">
          <cell r="D480">
            <v>401403</v>
          </cell>
        </row>
        <row r="481">
          <cell r="D481">
            <v>122100</v>
          </cell>
        </row>
        <row r="483">
          <cell r="D483">
            <v>0</v>
          </cell>
        </row>
        <row r="484">
          <cell r="D484">
            <v>0</v>
          </cell>
        </row>
        <row r="486">
          <cell r="D486">
            <v>17521</v>
          </cell>
        </row>
        <row r="487">
          <cell r="D487">
            <v>0</v>
          </cell>
        </row>
        <row r="498">
          <cell r="D498">
            <v>450</v>
          </cell>
        </row>
        <row r="499">
          <cell r="D499">
            <v>450</v>
          </cell>
        </row>
        <row r="504">
          <cell r="D504">
            <v>450</v>
          </cell>
        </row>
        <row r="505">
          <cell r="D505">
            <v>450</v>
          </cell>
        </row>
        <row r="522">
          <cell r="D522">
            <v>7</v>
          </cell>
        </row>
        <row r="523">
          <cell r="D523">
            <v>7</v>
          </cell>
        </row>
        <row r="531">
          <cell r="D531">
            <v>9607</v>
          </cell>
        </row>
        <row r="532">
          <cell r="D532">
            <v>9607</v>
          </cell>
        </row>
        <row r="533">
          <cell r="D533">
            <v>-119310</v>
          </cell>
        </row>
      </sheetData>
      <sheetData sheetId="1">
        <row r="9">
          <cell r="D9">
            <v>1715936</v>
          </cell>
        </row>
        <row r="10">
          <cell r="D10">
            <v>970544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550"/>
  <sheetViews>
    <sheetView tabSelected="1" zoomScale="130" zoomScaleNormal="130" zoomScaleSheetLayoutView="70" workbookViewId="0">
      <pane xSplit="2" ySplit="8" topLeftCell="C440" activePane="bottomRight" state="frozen"/>
      <selection pane="topRight" activeCell="C1" sqref="C1"/>
      <selection pane="bottomLeft" activeCell="A9" sqref="A9"/>
      <selection pane="bottomRight" activeCell="I441" sqref="I441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5" width="9.140625" hidden="1" customWidth="1"/>
    <col min="6" max="6" width="9.85546875" hidden="1" customWidth="1"/>
  </cols>
  <sheetData>
    <row r="1" spans="1:4" x14ac:dyDescent="0.25">
      <c r="A1" s="120" t="s">
        <v>345</v>
      </c>
      <c r="D1" s="104" t="s">
        <v>304</v>
      </c>
    </row>
    <row r="2" spans="1:4" ht="15" customHeight="1" x14ac:dyDescent="0.25">
      <c r="A2" s="135" t="s">
        <v>323</v>
      </c>
      <c r="B2" s="135"/>
      <c r="C2" s="135"/>
      <c r="D2" s="135"/>
    </row>
    <row r="3" spans="1:4" ht="18.75" customHeight="1" x14ac:dyDescent="0.25">
      <c r="A3" s="135"/>
      <c r="B3" s="135"/>
      <c r="C3" s="135"/>
      <c r="D3" s="135"/>
    </row>
    <row r="4" spans="1:4" ht="10.5" customHeight="1" x14ac:dyDescent="0.25">
      <c r="A4" s="132"/>
      <c r="B4" s="132"/>
      <c r="C4" s="132"/>
      <c r="D4" s="132"/>
    </row>
    <row r="5" spans="1:4" ht="15" customHeight="1" x14ac:dyDescent="0.4">
      <c r="A5" s="136" t="s">
        <v>159</v>
      </c>
      <c r="B5" s="136"/>
      <c r="C5" s="136"/>
      <c r="D5" s="77"/>
    </row>
    <row r="6" spans="1:4" ht="19.5" customHeight="1" x14ac:dyDescent="0.4">
      <c r="A6" s="1"/>
      <c r="B6" s="8"/>
      <c r="C6" s="8"/>
      <c r="D6" s="89" t="s">
        <v>295</v>
      </c>
    </row>
    <row r="7" spans="1:4" ht="41.25" customHeight="1" x14ac:dyDescent="0.25">
      <c r="A7" s="78" t="s">
        <v>0</v>
      </c>
      <c r="B7" s="78" t="s">
        <v>294</v>
      </c>
      <c r="C7" s="79" t="s">
        <v>1</v>
      </c>
      <c r="D7" s="91" t="s">
        <v>324</v>
      </c>
    </row>
    <row r="8" spans="1:4" x14ac:dyDescent="0.25">
      <c r="A8" s="81"/>
      <c r="B8" s="81">
        <v>1</v>
      </c>
      <c r="C8" s="82">
        <v>2</v>
      </c>
      <c r="D8" s="82">
        <v>3</v>
      </c>
    </row>
    <row r="9" spans="1:4" x14ac:dyDescent="0.25">
      <c r="A9" s="24"/>
      <c r="B9" s="24"/>
      <c r="C9" s="13" t="s">
        <v>2</v>
      </c>
      <c r="D9" s="14">
        <f>D10+D26</f>
        <v>1757942</v>
      </c>
    </row>
    <row r="10" spans="1:4" x14ac:dyDescent="0.25">
      <c r="A10" s="15"/>
      <c r="B10" s="15"/>
      <c r="C10" s="2" t="s">
        <v>3</v>
      </c>
      <c r="D10" s="16">
        <f>D11</f>
        <v>1016009</v>
      </c>
    </row>
    <row r="11" spans="1:4" x14ac:dyDescent="0.25">
      <c r="A11" s="15"/>
      <c r="B11" s="15"/>
      <c r="C11" s="2" t="s">
        <v>173</v>
      </c>
      <c r="D11" s="16">
        <f>D17+D19+D21+D12+D15</f>
        <v>1016009</v>
      </c>
    </row>
    <row r="12" spans="1:4" x14ac:dyDescent="0.25">
      <c r="A12" s="15" t="s">
        <v>267</v>
      </c>
      <c r="B12" s="15"/>
      <c r="C12" s="2" t="s">
        <v>257</v>
      </c>
      <c r="D12" s="16">
        <f t="shared" ref="D12:D13" si="0">D13</f>
        <v>1257</v>
      </c>
    </row>
    <row r="13" spans="1:4" x14ac:dyDescent="0.25">
      <c r="A13" s="15" t="s">
        <v>266</v>
      </c>
      <c r="B13" s="15"/>
      <c r="C13" s="2" t="s">
        <v>258</v>
      </c>
      <c r="D13" s="16">
        <f t="shared" si="0"/>
        <v>1257</v>
      </c>
    </row>
    <row r="14" spans="1:4" ht="25.5" x14ac:dyDescent="0.25">
      <c r="A14" s="55" t="s">
        <v>265</v>
      </c>
      <c r="B14" s="55"/>
      <c r="C14" s="74" t="s">
        <v>259</v>
      </c>
      <c r="D14" s="29">
        <f>391+521+345</f>
        <v>1257</v>
      </c>
    </row>
    <row r="15" spans="1:4" x14ac:dyDescent="0.25">
      <c r="A15" s="4" t="s">
        <v>290</v>
      </c>
      <c r="B15" s="15"/>
      <c r="C15" s="2" t="s">
        <v>292</v>
      </c>
      <c r="D15" s="16">
        <f>D16</f>
        <v>113</v>
      </c>
    </row>
    <row r="16" spans="1:4" x14ac:dyDescent="0.25">
      <c r="A16" s="50" t="s">
        <v>291</v>
      </c>
      <c r="B16" s="18"/>
      <c r="C16" s="5" t="s">
        <v>292</v>
      </c>
      <c r="D16" s="86">
        <v>113</v>
      </c>
    </row>
    <row r="17" spans="1:6" x14ac:dyDescent="0.25">
      <c r="A17" s="4" t="s">
        <v>4</v>
      </c>
      <c r="B17" s="15"/>
      <c r="C17" s="2" t="s">
        <v>174</v>
      </c>
      <c r="D17" s="16">
        <f t="shared" ref="D17" si="1">D18</f>
        <v>1004898</v>
      </c>
    </row>
    <row r="18" spans="1:6" x14ac:dyDescent="0.25">
      <c r="A18" s="50" t="s">
        <v>5</v>
      </c>
      <c r="B18" s="18"/>
      <c r="C18" s="5" t="s">
        <v>175</v>
      </c>
      <c r="D18" s="88">
        <f>927712+31520-113+37896-250-32+7211+954</f>
        <v>1004898</v>
      </c>
    </row>
    <row r="19" spans="1:6" x14ac:dyDescent="0.25">
      <c r="A19" s="4" t="s">
        <v>6</v>
      </c>
      <c r="B19" s="15"/>
      <c r="C19" s="2" t="s">
        <v>176</v>
      </c>
      <c r="D19" s="16">
        <f t="shared" ref="D19" si="2">D20</f>
        <v>359</v>
      </c>
    </row>
    <row r="20" spans="1:6" x14ac:dyDescent="0.25">
      <c r="A20" s="50" t="s">
        <v>7</v>
      </c>
      <c r="B20" s="18"/>
      <c r="C20" s="5" t="s">
        <v>177</v>
      </c>
      <c r="D20" s="17">
        <f>1018-659</f>
        <v>359</v>
      </c>
    </row>
    <row r="21" spans="1:6" x14ac:dyDescent="0.25">
      <c r="A21" s="4" t="s">
        <v>8</v>
      </c>
      <c r="B21" s="15"/>
      <c r="C21" s="2" t="s">
        <v>9</v>
      </c>
      <c r="D21" s="3">
        <f>D22+D23</f>
        <v>9382</v>
      </c>
    </row>
    <row r="22" spans="1:6" hidden="1" x14ac:dyDescent="0.25">
      <c r="A22" s="75" t="s">
        <v>264</v>
      </c>
      <c r="B22" s="55"/>
      <c r="C22" s="74" t="s">
        <v>260</v>
      </c>
      <c r="D22" s="76"/>
    </row>
    <row r="23" spans="1:6" x14ac:dyDescent="0.25">
      <c r="A23" s="4" t="s">
        <v>10</v>
      </c>
      <c r="B23" s="15"/>
      <c r="C23" s="2" t="s">
        <v>11</v>
      </c>
      <c r="D23" s="16">
        <f>D24+D25</f>
        <v>9382</v>
      </c>
    </row>
    <row r="24" spans="1:6" ht="25.5" x14ac:dyDescent="0.25">
      <c r="A24" s="50"/>
      <c r="B24" s="18"/>
      <c r="C24" s="5" t="s">
        <v>178</v>
      </c>
      <c r="D24" s="88">
        <v>7960</v>
      </c>
    </row>
    <row r="25" spans="1:6" x14ac:dyDescent="0.25">
      <c r="A25" s="50"/>
      <c r="B25" s="18"/>
      <c r="C25" s="5" t="s">
        <v>179</v>
      </c>
      <c r="D25" s="17">
        <f>1422-250+250</f>
        <v>1422</v>
      </c>
    </row>
    <row r="26" spans="1:6" x14ac:dyDescent="0.25">
      <c r="A26" s="15"/>
      <c r="B26" s="15"/>
      <c r="C26" s="19" t="s">
        <v>180</v>
      </c>
      <c r="D26" s="16">
        <f>D27+D41+D46</f>
        <v>741933</v>
      </c>
    </row>
    <row r="27" spans="1:6" x14ac:dyDescent="0.25">
      <c r="A27" s="4" t="s">
        <v>12</v>
      </c>
      <c r="B27" s="15"/>
      <c r="C27" s="2" t="s">
        <v>181</v>
      </c>
      <c r="D27" s="16">
        <f>D28+D36+D37</f>
        <v>720611</v>
      </c>
      <c r="F27" s="118">
        <f>D27-D409</f>
        <v>0</v>
      </c>
    </row>
    <row r="28" spans="1:6" ht="25.5" x14ac:dyDescent="0.25">
      <c r="A28" s="4" t="s">
        <v>13</v>
      </c>
      <c r="B28" s="15"/>
      <c r="C28" s="2" t="s">
        <v>182</v>
      </c>
      <c r="D28" s="16">
        <f>D29+D31+D35+D30+D34</f>
        <v>161725</v>
      </c>
    </row>
    <row r="29" spans="1:6" ht="25.5" x14ac:dyDescent="0.25">
      <c r="A29" s="18"/>
      <c r="B29" s="18"/>
      <c r="C29" s="5" t="s">
        <v>183</v>
      </c>
      <c r="D29" s="88">
        <v>900</v>
      </c>
    </row>
    <row r="30" spans="1:6" x14ac:dyDescent="0.25">
      <c r="A30" s="18"/>
      <c r="B30" s="18"/>
      <c r="C30" s="5" t="s">
        <v>184</v>
      </c>
      <c r="D30" s="17">
        <v>38500</v>
      </c>
    </row>
    <row r="31" spans="1:6" x14ac:dyDescent="0.25">
      <c r="A31" s="15"/>
      <c r="B31" s="15"/>
      <c r="C31" s="2" t="s">
        <v>185</v>
      </c>
      <c r="D31" s="16">
        <f t="shared" ref="D31" si="3">D32+D33</f>
        <v>122100</v>
      </c>
    </row>
    <row r="32" spans="1:6" x14ac:dyDescent="0.25">
      <c r="A32" s="18"/>
      <c r="B32" s="18"/>
      <c r="C32" s="5" t="s">
        <v>136</v>
      </c>
      <c r="D32" s="88">
        <f>151443-29343</f>
        <v>122100</v>
      </c>
    </row>
    <row r="33" spans="1:4" x14ac:dyDescent="0.25">
      <c r="A33" s="18"/>
      <c r="B33" s="18"/>
      <c r="C33" s="5" t="s">
        <v>14</v>
      </c>
      <c r="D33" s="88">
        <f>657-657</f>
        <v>0</v>
      </c>
    </row>
    <row r="34" spans="1:4" hidden="1" x14ac:dyDescent="0.25">
      <c r="A34" s="6"/>
      <c r="B34" s="6"/>
      <c r="C34" s="6" t="s">
        <v>293</v>
      </c>
      <c r="D34" s="87"/>
    </row>
    <row r="35" spans="1:4" x14ac:dyDescent="0.25">
      <c r="A35" s="28"/>
      <c r="B35" s="28"/>
      <c r="C35" s="6" t="s">
        <v>186</v>
      </c>
      <c r="D35" s="16">
        <v>225</v>
      </c>
    </row>
    <row r="36" spans="1:4" ht="38.25" x14ac:dyDescent="0.25">
      <c r="A36" s="7" t="s">
        <v>15</v>
      </c>
      <c r="B36" s="28"/>
      <c r="C36" s="6" t="s">
        <v>187</v>
      </c>
      <c r="D36" s="16">
        <f>964870-35557-400000</f>
        <v>529313</v>
      </c>
    </row>
    <row r="37" spans="1:4" x14ac:dyDescent="0.25">
      <c r="A37" s="7" t="s">
        <v>325</v>
      </c>
      <c r="B37" s="28"/>
      <c r="C37" s="6" t="s">
        <v>326</v>
      </c>
      <c r="D37" s="16">
        <f>SUM(D38:D40)</f>
        <v>29573</v>
      </c>
    </row>
    <row r="38" spans="1:4" x14ac:dyDescent="0.25">
      <c r="A38" s="121" t="s">
        <v>327</v>
      </c>
      <c r="B38" s="122"/>
      <c r="C38" s="123" t="s">
        <v>328</v>
      </c>
      <c r="D38" s="86">
        <v>25036</v>
      </c>
    </row>
    <row r="39" spans="1:4" x14ac:dyDescent="0.25">
      <c r="A39" s="121" t="s">
        <v>329</v>
      </c>
      <c r="B39" s="122"/>
      <c r="C39" s="123" t="s">
        <v>330</v>
      </c>
      <c r="D39" s="86"/>
    </row>
    <row r="40" spans="1:4" x14ac:dyDescent="0.25">
      <c r="A40" s="121" t="s">
        <v>331</v>
      </c>
      <c r="B40" s="122"/>
      <c r="C40" s="123" t="s">
        <v>332</v>
      </c>
      <c r="D40" s="86">
        <v>4537</v>
      </c>
    </row>
    <row r="41" spans="1:4" ht="25.5" x14ac:dyDescent="0.25">
      <c r="A41" s="4" t="s">
        <v>16</v>
      </c>
      <c r="B41" s="15"/>
      <c r="C41" s="19" t="s">
        <v>188</v>
      </c>
      <c r="D41" s="16">
        <f>D42+D44</f>
        <v>7</v>
      </c>
    </row>
    <row r="42" spans="1:4" hidden="1" x14ac:dyDescent="0.25">
      <c r="A42" s="4" t="s">
        <v>17</v>
      </c>
      <c r="B42" s="15"/>
      <c r="C42" s="19" t="s">
        <v>189</v>
      </c>
      <c r="D42" s="16">
        <f>SUM(D43:D43)</f>
        <v>0</v>
      </c>
    </row>
    <row r="43" spans="1:4" hidden="1" x14ac:dyDescent="0.25">
      <c r="A43" s="50" t="s">
        <v>18</v>
      </c>
      <c r="B43" s="18"/>
      <c r="C43" s="5" t="s">
        <v>19</v>
      </c>
      <c r="D43" s="17">
        <v>0</v>
      </c>
    </row>
    <row r="44" spans="1:4" x14ac:dyDescent="0.25">
      <c r="A44" s="4" t="s">
        <v>20</v>
      </c>
      <c r="B44" s="15"/>
      <c r="C44" s="19" t="s">
        <v>191</v>
      </c>
      <c r="D44" s="16">
        <f t="shared" ref="D44" si="4">D45</f>
        <v>7</v>
      </c>
    </row>
    <row r="45" spans="1:4" x14ac:dyDescent="0.25">
      <c r="A45" s="50" t="s">
        <v>310</v>
      </c>
      <c r="B45" s="18"/>
      <c r="C45" s="5" t="s">
        <v>19</v>
      </c>
      <c r="D45" s="17">
        <v>7</v>
      </c>
    </row>
    <row r="46" spans="1:4" ht="25.5" x14ac:dyDescent="0.25">
      <c r="A46" s="4" t="s">
        <v>22</v>
      </c>
      <c r="B46" s="15"/>
      <c r="C46" s="19" t="s">
        <v>192</v>
      </c>
      <c r="D46" s="16">
        <f>D55+D47+D61+D51+D59</f>
        <v>21315</v>
      </c>
    </row>
    <row r="47" spans="1:4" x14ac:dyDescent="0.25">
      <c r="A47" s="4" t="s">
        <v>23</v>
      </c>
      <c r="B47" s="15"/>
      <c r="C47" s="2" t="s">
        <v>193</v>
      </c>
      <c r="D47" s="16">
        <f>SUM(D48:D50)</f>
        <v>3008</v>
      </c>
    </row>
    <row r="48" spans="1:4" x14ac:dyDescent="0.25">
      <c r="A48" s="50" t="s">
        <v>24</v>
      </c>
      <c r="B48" s="18"/>
      <c r="C48" s="5" t="s">
        <v>21</v>
      </c>
      <c r="D48" s="17">
        <f>1713+824</f>
        <v>2537</v>
      </c>
    </row>
    <row r="49" spans="1:4" x14ac:dyDescent="0.25">
      <c r="A49" s="50" t="s">
        <v>262</v>
      </c>
      <c r="B49" s="18"/>
      <c r="C49" s="5" t="s">
        <v>261</v>
      </c>
      <c r="D49" s="17">
        <f>979-540+32</f>
        <v>471</v>
      </c>
    </row>
    <row r="50" spans="1:4" x14ac:dyDescent="0.25">
      <c r="A50" s="50" t="s">
        <v>263</v>
      </c>
      <c r="B50" s="18"/>
      <c r="C50" s="5" t="s">
        <v>190</v>
      </c>
      <c r="D50" s="17"/>
    </row>
    <row r="51" spans="1:4" x14ac:dyDescent="0.25">
      <c r="A51" s="4" t="s">
        <v>284</v>
      </c>
      <c r="B51" s="15"/>
      <c r="C51" s="2" t="s">
        <v>286</v>
      </c>
      <c r="D51" s="16">
        <f>SUM(D52:D54)</f>
        <v>3143</v>
      </c>
    </row>
    <row r="52" spans="1:4" x14ac:dyDescent="0.25">
      <c r="A52" s="50" t="s">
        <v>285</v>
      </c>
      <c r="B52" s="18"/>
      <c r="C52" s="5" t="s">
        <v>21</v>
      </c>
      <c r="D52" s="17">
        <f>50+1792</f>
        <v>1842</v>
      </c>
    </row>
    <row r="53" spans="1:4" x14ac:dyDescent="0.25">
      <c r="A53" s="50" t="s">
        <v>296</v>
      </c>
      <c r="B53" s="18"/>
      <c r="C53" s="5" t="s">
        <v>261</v>
      </c>
      <c r="D53" s="17">
        <f>6868-5567</f>
        <v>1301</v>
      </c>
    </row>
    <row r="54" spans="1:4" x14ac:dyDescent="0.25">
      <c r="A54" s="50" t="s">
        <v>297</v>
      </c>
      <c r="B54" s="18"/>
      <c r="C54" s="5" t="s">
        <v>190</v>
      </c>
      <c r="D54" s="17"/>
    </row>
    <row r="55" spans="1:4" x14ac:dyDescent="0.25">
      <c r="A55" s="4" t="s">
        <v>25</v>
      </c>
      <c r="B55" s="15"/>
      <c r="C55" s="2" t="s">
        <v>26</v>
      </c>
      <c r="D55" s="16">
        <f>SUM(D56:D58)</f>
        <v>4980</v>
      </c>
    </row>
    <row r="56" spans="1:4" x14ac:dyDescent="0.25">
      <c r="A56" s="50" t="s">
        <v>287</v>
      </c>
      <c r="B56" s="18"/>
      <c r="C56" s="5" t="s">
        <v>21</v>
      </c>
      <c r="D56" s="17"/>
    </row>
    <row r="57" spans="1:4" x14ac:dyDescent="0.25">
      <c r="A57" s="50" t="s">
        <v>288</v>
      </c>
      <c r="B57" s="18"/>
      <c r="C57" s="5" t="s">
        <v>261</v>
      </c>
      <c r="D57" s="17">
        <f>4980</f>
        <v>4980</v>
      </c>
    </row>
    <row r="58" spans="1:4" x14ac:dyDescent="0.25">
      <c r="A58" s="50" t="s">
        <v>27</v>
      </c>
      <c r="B58" s="18"/>
      <c r="C58" s="5" t="s">
        <v>190</v>
      </c>
      <c r="D58" s="17"/>
    </row>
    <row r="59" spans="1:4" x14ac:dyDescent="0.25">
      <c r="A59" s="92" t="s">
        <v>305</v>
      </c>
      <c r="B59" s="93"/>
      <c r="C59" s="94" t="s">
        <v>299</v>
      </c>
      <c r="D59" s="16">
        <f>SUM(D60)</f>
        <v>381</v>
      </c>
    </row>
    <row r="60" spans="1:4" x14ac:dyDescent="0.25">
      <c r="A60" s="105" t="s">
        <v>306</v>
      </c>
      <c r="B60" s="106"/>
      <c r="C60" s="107" t="s">
        <v>190</v>
      </c>
      <c r="D60" s="17">
        <v>381</v>
      </c>
    </row>
    <row r="61" spans="1:4" x14ac:dyDescent="0.25">
      <c r="A61" s="4" t="s">
        <v>28</v>
      </c>
      <c r="B61" s="15"/>
      <c r="C61" s="2" t="s">
        <v>191</v>
      </c>
      <c r="D61" s="16">
        <f>SUM(D62:D64)</f>
        <v>9803</v>
      </c>
    </row>
    <row r="62" spans="1:4" x14ac:dyDescent="0.25">
      <c r="A62" s="50" t="s">
        <v>289</v>
      </c>
      <c r="B62" s="18"/>
      <c r="C62" s="5" t="s">
        <v>21</v>
      </c>
      <c r="D62" s="29">
        <v>120</v>
      </c>
    </row>
    <row r="63" spans="1:4" x14ac:dyDescent="0.25">
      <c r="A63" s="50" t="s">
        <v>298</v>
      </c>
      <c r="B63" s="18"/>
      <c r="C63" s="5" t="s">
        <v>261</v>
      </c>
      <c r="D63" s="17">
        <v>9665</v>
      </c>
    </row>
    <row r="64" spans="1:4" x14ac:dyDescent="0.25">
      <c r="A64" s="50" t="s">
        <v>29</v>
      </c>
      <c r="B64" s="18"/>
      <c r="C64" s="5" t="s">
        <v>190</v>
      </c>
      <c r="D64" s="17">
        <v>18</v>
      </c>
    </row>
    <row r="65" spans="1:4" x14ac:dyDescent="0.25">
      <c r="A65" s="24"/>
      <c r="B65" s="24"/>
      <c r="C65" s="13" t="s">
        <v>31</v>
      </c>
      <c r="D65" s="14"/>
    </row>
    <row r="66" spans="1:4" x14ac:dyDescent="0.25">
      <c r="A66" s="24"/>
      <c r="B66" s="24" t="s">
        <v>194</v>
      </c>
      <c r="C66" s="13" t="s">
        <v>195</v>
      </c>
      <c r="D66" s="14">
        <f>D69+D96</f>
        <v>5409834</v>
      </c>
    </row>
    <row r="67" spans="1:4" x14ac:dyDescent="0.25">
      <c r="A67" s="24"/>
      <c r="B67" s="24" t="s">
        <v>196</v>
      </c>
      <c r="C67" s="13" t="s">
        <v>197</v>
      </c>
      <c r="D67" s="14">
        <f>D70+D97</f>
        <v>1877252</v>
      </c>
    </row>
    <row r="68" spans="1:4" x14ac:dyDescent="0.25">
      <c r="A68" s="15"/>
      <c r="B68" s="15" t="s">
        <v>32</v>
      </c>
      <c r="C68" s="41" t="s">
        <v>33</v>
      </c>
      <c r="D68" s="16"/>
    </row>
    <row r="69" spans="1:4" x14ac:dyDescent="0.25">
      <c r="A69" s="15"/>
      <c r="B69" s="15" t="s">
        <v>194</v>
      </c>
      <c r="C69" s="25" t="s">
        <v>195</v>
      </c>
      <c r="D69" s="16">
        <f>D72+D75+D78+D81+D84+D87+D90+D93</f>
        <v>4870769</v>
      </c>
    </row>
    <row r="70" spans="1:4" x14ac:dyDescent="0.25">
      <c r="A70" s="15"/>
      <c r="B70" s="15" t="s">
        <v>196</v>
      </c>
      <c r="C70" s="25" t="s">
        <v>197</v>
      </c>
      <c r="D70" s="16">
        <f>D73+D76+D79+D82+D85+D88+D91+D94</f>
        <v>1653805</v>
      </c>
    </row>
    <row r="71" spans="1:4" x14ac:dyDescent="0.25">
      <c r="A71" s="15"/>
      <c r="B71" s="15">
        <v>10</v>
      </c>
      <c r="C71" s="2" t="s">
        <v>34</v>
      </c>
      <c r="D71" s="16"/>
    </row>
    <row r="72" spans="1:4" x14ac:dyDescent="0.25">
      <c r="A72" s="15"/>
      <c r="B72" s="15" t="s">
        <v>194</v>
      </c>
      <c r="C72" s="25" t="s">
        <v>195</v>
      </c>
      <c r="D72" s="16">
        <f t="shared" ref="D72:D73" si="5">D111</f>
        <v>667203</v>
      </c>
    </row>
    <row r="73" spans="1:4" x14ac:dyDescent="0.25">
      <c r="A73" s="15"/>
      <c r="B73" s="15" t="s">
        <v>196</v>
      </c>
      <c r="C73" s="25" t="s">
        <v>197</v>
      </c>
      <c r="D73" s="16">
        <f t="shared" si="5"/>
        <v>667203</v>
      </c>
    </row>
    <row r="74" spans="1:4" x14ac:dyDescent="0.25">
      <c r="A74" s="15"/>
      <c r="B74" s="15">
        <v>20</v>
      </c>
      <c r="C74" s="2" t="s">
        <v>198</v>
      </c>
      <c r="D74" s="16"/>
    </row>
    <row r="75" spans="1:4" x14ac:dyDescent="0.25">
      <c r="A75" s="15"/>
      <c r="B75" s="15" t="s">
        <v>194</v>
      </c>
      <c r="C75" s="25" t="s">
        <v>195</v>
      </c>
      <c r="D75" s="16">
        <f>D174+D417+D495</f>
        <v>364531</v>
      </c>
    </row>
    <row r="76" spans="1:4" x14ac:dyDescent="0.25">
      <c r="A76" s="15"/>
      <c r="B76" s="15" t="s">
        <v>196</v>
      </c>
      <c r="C76" s="25" t="s">
        <v>197</v>
      </c>
      <c r="D76" s="16">
        <f>D175+D418+D496</f>
        <v>364531</v>
      </c>
    </row>
    <row r="77" spans="1:4" ht="25.5" x14ac:dyDescent="0.25">
      <c r="A77" s="15"/>
      <c r="B77" s="15">
        <v>56</v>
      </c>
      <c r="C77" s="2" t="s">
        <v>199</v>
      </c>
      <c r="D77" s="16"/>
    </row>
    <row r="78" spans="1:4" x14ac:dyDescent="0.25">
      <c r="A78" s="15"/>
      <c r="B78" s="15" t="s">
        <v>194</v>
      </c>
      <c r="C78" s="25" t="s">
        <v>195</v>
      </c>
      <c r="D78" s="16">
        <f>D516</f>
        <v>7</v>
      </c>
    </row>
    <row r="79" spans="1:4" x14ac:dyDescent="0.25">
      <c r="A79" s="15"/>
      <c r="B79" s="15" t="s">
        <v>196</v>
      </c>
      <c r="C79" s="25" t="s">
        <v>197</v>
      </c>
      <c r="D79" s="16">
        <f>D517</f>
        <v>7</v>
      </c>
    </row>
    <row r="80" spans="1:4" hidden="1" x14ac:dyDescent="0.25">
      <c r="A80" s="15"/>
      <c r="B80" s="15">
        <v>57</v>
      </c>
      <c r="C80" s="2" t="s">
        <v>271</v>
      </c>
      <c r="D80" s="16"/>
    </row>
    <row r="81" spans="1:4" hidden="1" x14ac:dyDescent="0.25">
      <c r="A81" s="15"/>
      <c r="B81" s="15" t="s">
        <v>194</v>
      </c>
      <c r="C81" s="25" t="s">
        <v>195</v>
      </c>
      <c r="D81" s="16">
        <f>D309</f>
        <v>0</v>
      </c>
    </row>
    <row r="82" spans="1:4" hidden="1" x14ac:dyDescent="0.25">
      <c r="A82" s="15"/>
      <c r="B82" s="15" t="s">
        <v>196</v>
      </c>
      <c r="C82" s="25" t="s">
        <v>197</v>
      </c>
      <c r="D82" s="16">
        <f>D310</f>
        <v>0</v>
      </c>
    </row>
    <row r="83" spans="1:4" ht="38.25" x14ac:dyDescent="0.25">
      <c r="A83" s="15"/>
      <c r="B83" s="15" t="s">
        <v>35</v>
      </c>
      <c r="C83" s="2" t="s">
        <v>200</v>
      </c>
      <c r="D83" s="16"/>
    </row>
    <row r="84" spans="1:4" x14ac:dyDescent="0.25">
      <c r="A84" s="15"/>
      <c r="B84" s="15" t="s">
        <v>194</v>
      </c>
      <c r="C84" s="25" t="s">
        <v>195</v>
      </c>
      <c r="D84" s="16">
        <f>D318+D426+D525</f>
        <v>3419693</v>
      </c>
    </row>
    <row r="85" spans="1:4" x14ac:dyDescent="0.25">
      <c r="A85" s="15"/>
      <c r="B85" s="15" t="s">
        <v>196</v>
      </c>
      <c r="C85" s="25" t="s">
        <v>197</v>
      </c>
      <c r="D85" s="16">
        <f>D319+D427+D526</f>
        <v>545896</v>
      </c>
    </row>
    <row r="86" spans="1:4" x14ac:dyDescent="0.25">
      <c r="A86" s="15"/>
      <c r="B86" s="15" t="s">
        <v>36</v>
      </c>
      <c r="C86" s="2" t="s">
        <v>37</v>
      </c>
      <c r="D86" s="16"/>
    </row>
    <row r="87" spans="1:4" x14ac:dyDescent="0.25">
      <c r="A87" s="15"/>
      <c r="B87" s="15" t="s">
        <v>194</v>
      </c>
      <c r="C87" s="25" t="s">
        <v>195</v>
      </c>
      <c r="D87" s="16">
        <f t="shared" ref="D87:D88" si="6">D375</f>
        <v>8095</v>
      </c>
    </row>
    <row r="88" spans="1:4" x14ac:dyDescent="0.25">
      <c r="A88" s="15"/>
      <c r="B88" s="15" t="s">
        <v>196</v>
      </c>
      <c r="C88" s="25" t="s">
        <v>197</v>
      </c>
      <c r="D88" s="16">
        <f t="shared" si="6"/>
        <v>8095</v>
      </c>
    </row>
    <row r="89" spans="1:4" ht="25.5" x14ac:dyDescent="0.25">
      <c r="A89" s="15"/>
      <c r="B89" s="15">
        <v>61</v>
      </c>
      <c r="C89" s="2" t="s">
        <v>333</v>
      </c>
      <c r="D89" s="16"/>
    </row>
    <row r="90" spans="1:4" x14ac:dyDescent="0.25">
      <c r="A90" s="15"/>
      <c r="B90" s="15" t="s">
        <v>194</v>
      </c>
      <c r="C90" s="25" t="s">
        <v>195</v>
      </c>
      <c r="D90" s="16">
        <f>D453</f>
        <v>355334</v>
      </c>
    </row>
    <row r="91" spans="1:4" x14ac:dyDescent="0.25">
      <c r="A91" s="15"/>
      <c r="B91" s="15" t="s">
        <v>196</v>
      </c>
      <c r="C91" s="25" t="s">
        <v>197</v>
      </c>
      <c r="D91" s="16">
        <f>D454</f>
        <v>29573</v>
      </c>
    </row>
    <row r="92" spans="1:4" ht="25.5" x14ac:dyDescent="0.25">
      <c r="A92" s="26"/>
      <c r="B92" s="26">
        <v>65</v>
      </c>
      <c r="C92" s="2" t="s">
        <v>201</v>
      </c>
      <c r="D92" s="16"/>
    </row>
    <row r="93" spans="1:4" x14ac:dyDescent="0.25">
      <c r="A93" s="26"/>
      <c r="B93" s="15" t="s">
        <v>194</v>
      </c>
      <c r="C93" s="25" t="s">
        <v>195</v>
      </c>
      <c r="D93" s="16">
        <f>D465</f>
        <v>55906</v>
      </c>
    </row>
    <row r="94" spans="1:4" x14ac:dyDescent="0.25">
      <c r="A94" s="26"/>
      <c r="B94" s="15" t="s">
        <v>196</v>
      </c>
      <c r="C94" s="25" t="s">
        <v>197</v>
      </c>
      <c r="D94" s="16">
        <f>D466</f>
        <v>38500</v>
      </c>
    </row>
    <row r="95" spans="1:4" x14ac:dyDescent="0.25">
      <c r="A95" s="15"/>
      <c r="B95" s="15">
        <v>70</v>
      </c>
      <c r="C95" s="25" t="s">
        <v>38</v>
      </c>
      <c r="D95" s="16"/>
    </row>
    <row r="96" spans="1:4" x14ac:dyDescent="0.25">
      <c r="A96" s="15"/>
      <c r="B96" s="15" t="s">
        <v>194</v>
      </c>
      <c r="C96" s="25" t="s">
        <v>195</v>
      </c>
      <c r="D96" s="16">
        <f>D384+D471+D501</f>
        <v>539065</v>
      </c>
    </row>
    <row r="97" spans="1:6" x14ac:dyDescent="0.25">
      <c r="A97" s="15"/>
      <c r="B97" s="15" t="s">
        <v>196</v>
      </c>
      <c r="C97" s="25" t="s">
        <v>197</v>
      </c>
      <c r="D97" s="16">
        <f>D385+D472+D502</f>
        <v>223447</v>
      </c>
    </row>
    <row r="98" spans="1:6" x14ac:dyDescent="0.25">
      <c r="A98" s="24"/>
      <c r="B98" s="24"/>
      <c r="C98" s="83" t="s">
        <v>39</v>
      </c>
      <c r="D98" s="14"/>
    </row>
    <row r="99" spans="1:6" x14ac:dyDescent="0.25">
      <c r="A99" s="24"/>
      <c r="B99" s="24" t="s">
        <v>194</v>
      </c>
      <c r="C99" s="83" t="s">
        <v>195</v>
      </c>
      <c r="D99" s="14">
        <f>D102+D408+D507</f>
        <v>5409834</v>
      </c>
    </row>
    <row r="100" spans="1:6" x14ac:dyDescent="0.25">
      <c r="A100" s="24"/>
      <c r="B100" s="24" t="s">
        <v>196</v>
      </c>
      <c r="C100" s="83" t="s">
        <v>197</v>
      </c>
      <c r="D100" s="14">
        <f>D103+D409+D508</f>
        <v>1877252</v>
      </c>
    </row>
    <row r="101" spans="1:6" x14ac:dyDescent="0.25">
      <c r="A101" s="15" t="s">
        <v>30</v>
      </c>
      <c r="B101" s="15"/>
      <c r="C101" s="25" t="s">
        <v>40</v>
      </c>
      <c r="D101" s="16"/>
    </row>
    <row r="102" spans="1:6" x14ac:dyDescent="0.25">
      <c r="A102" s="15"/>
      <c r="B102" s="15" t="s">
        <v>194</v>
      </c>
      <c r="C102" s="25" t="s">
        <v>195</v>
      </c>
      <c r="D102" s="16">
        <f>D105</f>
        <v>1164323</v>
      </c>
      <c r="F102" s="97">
        <f>D102-D103</f>
        <v>17296</v>
      </c>
    </row>
    <row r="103" spans="1:6" x14ac:dyDescent="0.25">
      <c r="A103" s="15"/>
      <c r="B103" s="15" t="s">
        <v>196</v>
      </c>
      <c r="C103" s="25" t="s">
        <v>197</v>
      </c>
      <c r="D103" s="16">
        <f>D106</f>
        <v>1147027</v>
      </c>
    </row>
    <row r="104" spans="1:6" x14ac:dyDescent="0.25">
      <c r="A104" s="15" t="s">
        <v>30</v>
      </c>
      <c r="B104" s="15" t="s">
        <v>41</v>
      </c>
      <c r="C104" s="25" t="s">
        <v>202</v>
      </c>
      <c r="D104" s="16"/>
    </row>
    <row r="105" spans="1:6" x14ac:dyDescent="0.25">
      <c r="A105" s="15"/>
      <c r="B105" s="15" t="s">
        <v>194</v>
      </c>
      <c r="C105" s="25" t="s">
        <v>195</v>
      </c>
      <c r="D105" s="16">
        <f>D108+D384</f>
        <v>1164323</v>
      </c>
    </row>
    <row r="106" spans="1:6" x14ac:dyDescent="0.25">
      <c r="A106" s="15"/>
      <c r="B106" s="15" t="s">
        <v>196</v>
      </c>
      <c r="C106" s="25" t="s">
        <v>197</v>
      </c>
      <c r="D106" s="16">
        <f>D109+D385</f>
        <v>1147027</v>
      </c>
    </row>
    <row r="107" spans="1:6" x14ac:dyDescent="0.25">
      <c r="A107" s="15" t="s">
        <v>30</v>
      </c>
      <c r="B107" s="15" t="s">
        <v>32</v>
      </c>
      <c r="C107" s="25" t="s">
        <v>33</v>
      </c>
      <c r="D107" s="16"/>
    </row>
    <row r="108" spans="1:6" x14ac:dyDescent="0.25">
      <c r="A108" s="15"/>
      <c r="B108" s="15" t="s">
        <v>194</v>
      </c>
      <c r="C108" s="25" t="s">
        <v>195</v>
      </c>
      <c r="D108" s="16">
        <f>D111+D174+D309+D318+D375</f>
        <v>1044632</v>
      </c>
    </row>
    <row r="109" spans="1:6" x14ac:dyDescent="0.25">
      <c r="A109" s="15"/>
      <c r="B109" s="15" t="s">
        <v>196</v>
      </c>
      <c r="C109" s="25" t="s">
        <v>197</v>
      </c>
      <c r="D109" s="16">
        <f>D112+D175+D310+D319+D376</f>
        <v>1046130</v>
      </c>
    </row>
    <row r="110" spans="1:6" x14ac:dyDescent="0.25">
      <c r="A110" s="15" t="s">
        <v>30</v>
      </c>
      <c r="B110" s="15">
        <v>10</v>
      </c>
      <c r="C110" s="25" t="s">
        <v>34</v>
      </c>
      <c r="D110" s="16"/>
    </row>
    <row r="111" spans="1:6" x14ac:dyDescent="0.25">
      <c r="A111" s="15"/>
      <c r="B111" s="15" t="s">
        <v>194</v>
      </c>
      <c r="C111" s="25" t="s">
        <v>195</v>
      </c>
      <c r="D111" s="16">
        <f>D114+D147+D141</f>
        <v>667203</v>
      </c>
    </row>
    <row r="112" spans="1:6" x14ac:dyDescent="0.25">
      <c r="A112" s="15"/>
      <c r="B112" s="15" t="s">
        <v>196</v>
      </c>
      <c r="C112" s="25" t="s">
        <v>197</v>
      </c>
      <c r="D112" s="16">
        <f>D115+D148+D142</f>
        <v>667203</v>
      </c>
    </row>
    <row r="113" spans="1:4" x14ac:dyDescent="0.25">
      <c r="A113" s="15" t="s">
        <v>30</v>
      </c>
      <c r="B113" s="15" t="s">
        <v>42</v>
      </c>
      <c r="C113" s="25" t="s">
        <v>203</v>
      </c>
      <c r="D113" s="16"/>
    </row>
    <row r="114" spans="1:4" x14ac:dyDescent="0.25">
      <c r="A114" s="15"/>
      <c r="B114" s="15" t="s">
        <v>194</v>
      </c>
      <c r="C114" s="25" t="s">
        <v>195</v>
      </c>
      <c r="D114" s="16">
        <f>D117+D120+D123+D126+D129+D132+D138+D135</f>
        <v>639146</v>
      </c>
    </row>
    <row r="115" spans="1:4" x14ac:dyDescent="0.25">
      <c r="A115" s="15"/>
      <c r="B115" s="15" t="s">
        <v>196</v>
      </c>
      <c r="C115" s="25" t="s">
        <v>197</v>
      </c>
      <c r="D115" s="16">
        <f>D118+D121+D124+D127+D130+D133+D139+D136</f>
        <v>639146</v>
      </c>
    </row>
    <row r="116" spans="1:4" x14ac:dyDescent="0.25">
      <c r="A116" s="51" t="s">
        <v>30</v>
      </c>
      <c r="B116" s="51" t="s">
        <v>43</v>
      </c>
      <c r="C116" s="52" t="s">
        <v>204</v>
      </c>
      <c r="D116" s="29"/>
    </row>
    <row r="117" spans="1:4" x14ac:dyDescent="0.25">
      <c r="A117" s="51"/>
      <c r="B117" s="12" t="s">
        <v>194</v>
      </c>
      <c r="C117" s="53" t="s">
        <v>195</v>
      </c>
      <c r="D117" s="88">
        <f>615419-5466-644-17992-59</f>
        <v>591258</v>
      </c>
    </row>
    <row r="118" spans="1:4" x14ac:dyDescent="0.25">
      <c r="A118" s="51"/>
      <c r="B118" s="33" t="s">
        <v>196</v>
      </c>
      <c r="C118" s="54" t="s">
        <v>197</v>
      </c>
      <c r="D118" s="88">
        <f>615419-5466-644-17992-59</f>
        <v>591258</v>
      </c>
    </row>
    <row r="119" spans="1:4" x14ac:dyDescent="0.25">
      <c r="A119" s="51" t="s">
        <v>30</v>
      </c>
      <c r="B119" s="51" t="s">
        <v>311</v>
      </c>
      <c r="C119" s="52" t="s">
        <v>312</v>
      </c>
      <c r="D119" s="29"/>
    </row>
    <row r="120" spans="1:4" x14ac:dyDescent="0.25">
      <c r="A120" s="51"/>
      <c r="B120" s="12" t="s">
        <v>194</v>
      </c>
      <c r="C120" s="53" t="s">
        <v>195</v>
      </c>
      <c r="D120" s="17">
        <f>61+81</f>
        <v>142</v>
      </c>
    </row>
    <row r="121" spans="1:4" x14ac:dyDescent="0.25">
      <c r="A121" s="51"/>
      <c r="B121" s="33" t="s">
        <v>196</v>
      </c>
      <c r="C121" s="54" t="s">
        <v>197</v>
      </c>
      <c r="D121" s="17">
        <f>61+81</f>
        <v>142</v>
      </c>
    </row>
    <row r="122" spans="1:4" x14ac:dyDescent="0.25">
      <c r="A122" s="55" t="s">
        <v>30</v>
      </c>
      <c r="B122" s="55" t="s">
        <v>44</v>
      </c>
      <c r="C122" s="56" t="s">
        <v>45</v>
      </c>
      <c r="D122" s="29"/>
    </row>
    <row r="123" spans="1:4" x14ac:dyDescent="0.25">
      <c r="A123" s="55"/>
      <c r="B123" s="12" t="s">
        <v>194</v>
      </c>
      <c r="C123" s="53" t="s">
        <v>195</v>
      </c>
      <c r="D123" s="17">
        <f>7202+30-866</f>
        <v>6366</v>
      </c>
    </row>
    <row r="124" spans="1:4" x14ac:dyDescent="0.25">
      <c r="A124" s="55"/>
      <c r="B124" s="33" t="s">
        <v>196</v>
      </c>
      <c r="C124" s="54" t="s">
        <v>197</v>
      </c>
      <c r="D124" s="17">
        <f>7202+30-866</f>
        <v>6366</v>
      </c>
    </row>
    <row r="125" spans="1:4" x14ac:dyDescent="0.25">
      <c r="A125" s="55" t="s">
        <v>30</v>
      </c>
      <c r="B125" s="55" t="s">
        <v>46</v>
      </c>
      <c r="C125" s="56" t="s">
        <v>205</v>
      </c>
      <c r="D125" s="29"/>
    </row>
    <row r="126" spans="1:4" x14ac:dyDescent="0.25">
      <c r="A126" s="55"/>
      <c r="B126" s="12" t="s">
        <v>194</v>
      </c>
      <c r="C126" s="53" t="s">
        <v>195</v>
      </c>
      <c r="D126" s="17">
        <f>1201+450-37</f>
        <v>1614</v>
      </c>
    </row>
    <row r="127" spans="1:4" x14ac:dyDescent="0.25">
      <c r="A127" s="55"/>
      <c r="B127" s="33" t="s">
        <v>196</v>
      </c>
      <c r="C127" s="54" t="s">
        <v>197</v>
      </c>
      <c r="D127" s="17">
        <f>1201+450-37</f>
        <v>1614</v>
      </c>
    </row>
    <row r="128" spans="1:4" x14ac:dyDescent="0.25">
      <c r="A128" s="55" t="s">
        <v>30</v>
      </c>
      <c r="B128" s="55" t="s">
        <v>47</v>
      </c>
      <c r="C128" s="56" t="s">
        <v>268</v>
      </c>
      <c r="D128" s="29"/>
    </row>
    <row r="129" spans="1:4" x14ac:dyDescent="0.25">
      <c r="A129" s="55"/>
      <c r="B129" s="12" t="s">
        <v>194</v>
      </c>
      <c r="C129" s="53" t="s">
        <v>195</v>
      </c>
      <c r="D129" s="17">
        <f>1239-100</f>
        <v>1139</v>
      </c>
    </row>
    <row r="130" spans="1:4" x14ac:dyDescent="0.25">
      <c r="A130" s="55"/>
      <c r="B130" s="33" t="s">
        <v>196</v>
      </c>
      <c r="C130" s="54" t="s">
        <v>197</v>
      </c>
      <c r="D130" s="17">
        <f>1239-100</f>
        <v>1139</v>
      </c>
    </row>
    <row r="131" spans="1:4" hidden="1" x14ac:dyDescent="0.25">
      <c r="A131" s="55" t="s">
        <v>30</v>
      </c>
      <c r="B131" s="55" t="s">
        <v>48</v>
      </c>
      <c r="C131" s="56" t="s">
        <v>206</v>
      </c>
      <c r="D131" s="29"/>
    </row>
    <row r="132" spans="1:4" hidden="1" x14ac:dyDescent="0.25">
      <c r="A132" s="55"/>
      <c r="B132" s="12" t="s">
        <v>194</v>
      </c>
      <c r="C132" s="53" t="s">
        <v>195</v>
      </c>
      <c r="D132" s="17">
        <v>0</v>
      </c>
    </row>
    <row r="133" spans="1:4" hidden="1" x14ac:dyDescent="0.25">
      <c r="A133" s="55"/>
      <c r="B133" s="33" t="s">
        <v>196</v>
      </c>
      <c r="C133" s="54" t="s">
        <v>197</v>
      </c>
      <c r="D133" s="17">
        <v>0</v>
      </c>
    </row>
    <row r="134" spans="1:4" x14ac:dyDescent="0.25">
      <c r="A134" s="55" t="s">
        <v>30</v>
      </c>
      <c r="B134" s="55" t="s">
        <v>269</v>
      </c>
      <c r="C134" s="56" t="s">
        <v>270</v>
      </c>
      <c r="D134" s="29"/>
    </row>
    <row r="135" spans="1:4" x14ac:dyDescent="0.25">
      <c r="A135" s="55"/>
      <c r="B135" s="12" t="s">
        <v>194</v>
      </c>
      <c r="C135" s="53" t="s">
        <v>195</v>
      </c>
      <c r="D135" s="88">
        <f>34393+234-184-3151</f>
        <v>31292</v>
      </c>
    </row>
    <row r="136" spans="1:4" x14ac:dyDescent="0.25">
      <c r="A136" s="55"/>
      <c r="B136" s="33" t="s">
        <v>196</v>
      </c>
      <c r="C136" s="54" t="s">
        <v>197</v>
      </c>
      <c r="D136" s="88">
        <f>34393+234-184-3151</f>
        <v>31292</v>
      </c>
    </row>
    <row r="137" spans="1:4" x14ac:dyDescent="0.25">
      <c r="A137" s="55" t="s">
        <v>30</v>
      </c>
      <c r="B137" s="55" t="s">
        <v>49</v>
      </c>
      <c r="C137" s="56" t="s">
        <v>207</v>
      </c>
      <c r="D137" s="29"/>
    </row>
    <row r="138" spans="1:4" x14ac:dyDescent="0.25">
      <c r="A138" s="55"/>
      <c r="B138" s="12" t="s">
        <v>194</v>
      </c>
      <c r="C138" s="53" t="s">
        <v>195</v>
      </c>
      <c r="D138" s="17">
        <f>7701+299-665</f>
        <v>7335</v>
      </c>
    </row>
    <row r="139" spans="1:4" x14ac:dyDescent="0.25">
      <c r="A139" s="55"/>
      <c r="B139" s="33" t="s">
        <v>196</v>
      </c>
      <c r="C139" s="54" t="s">
        <v>197</v>
      </c>
      <c r="D139" s="17">
        <f>7701+299-665</f>
        <v>7335</v>
      </c>
    </row>
    <row r="140" spans="1:4" x14ac:dyDescent="0.25">
      <c r="A140" s="15" t="s">
        <v>30</v>
      </c>
      <c r="B140" s="15" t="s">
        <v>50</v>
      </c>
      <c r="C140" s="42" t="s">
        <v>208</v>
      </c>
      <c r="D140" s="16"/>
    </row>
    <row r="141" spans="1:4" x14ac:dyDescent="0.25">
      <c r="A141" s="15"/>
      <c r="B141" s="15" t="s">
        <v>194</v>
      </c>
      <c r="C141" s="25" t="s">
        <v>195</v>
      </c>
      <c r="D141" s="16">
        <f t="shared" ref="D141:D142" si="7">D144</f>
        <v>12490</v>
      </c>
    </row>
    <row r="142" spans="1:4" x14ac:dyDescent="0.25">
      <c r="A142" s="15"/>
      <c r="B142" s="15" t="s">
        <v>196</v>
      </c>
      <c r="C142" s="25" t="s">
        <v>197</v>
      </c>
      <c r="D142" s="16">
        <f t="shared" si="7"/>
        <v>12490</v>
      </c>
    </row>
    <row r="143" spans="1:4" x14ac:dyDescent="0.25">
      <c r="A143" s="12" t="s">
        <v>30</v>
      </c>
      <c r="B143" s="12" t="s">
        <v>164</v>
      </c>
      <c r="C143" s="57" t="s">
        <v>165</v>
      </c>
      <c r="D143" s="58"/>
    </row>
    <row r="144" spans="1:4" x14ac:dyDescent="0.25">
      <c r="A144" s="12"/>
      <c r="B144" s="12" t="s">
        <v>194</v>
      </c>
      <c r="C144" s="53" t="s">
        <v>195</v>
      </c>
      <c r="D144" s="88">
        <f>12863+466-839</f>
        <v>12490</v>
      </c>
    </row>
    <row r="145" spans="1:4" x14ac:dyDescent="0.25">
      <c r="A145" s="12"/>
      <c r="B145" s="33" t="s">
        <v>196</v>
      </c>
      <c r="C145" s="54" t="s">
        <v>197</v>
      </c>
      <c r="D145" s="88">
        <f>12863+466-839</f>
        <v>12490</v>
      </c>
    </row>
    <row r="146" spans="1:4" x14ac:dyDescent="0.25">
      <c r="A146" s="15" t="s">
        <v>30</v>
      </c>
      <c r="B146" s="15" t="s">
        <v>51</v>
      </c>
      <c r="C146" s="25" t="s">
        <v>209</v>
      </c>
      <c r="D146" s="27"/>
    </row>
    <row r="147" spans="1:4" x14ac:dyDescent="0.25">
      <c r="A147" s="15"/>
      <c r="B147" s="15" t="s">
        <v>194</v>
      </c>
      <c r="C147" s="25" t="s">
        <v>195</v>
      </c>
      <c r="D147" s="27">
        <f t="shared" ref="D147" si="8">D150+D153+D156+D159+D162+D165+D168+D171</f>
        <v>15567</v>
      </c>
    </row>
    <row r="148" spans="1:4" x14ac:dyDescent="0.25">
      <c r="A148" s="15"/>
      <c r="B148" s="15" t="s">
        <v>196</v>
      </c>
      <c r="C148" s="25" t="s">
        <v>197</v>
      </c>
      <c r="D148" s="27">
        <f>D151+D154+D157+D160+D163+D166+D169+D172</f>
        <v>15567</v>
      </c>
    </row>
    <row r="149" spans="1:4" x14ac:dyDescent="0.25">
      <c r="A149" s="18" t="s">
        <v>30</v>
      </c>
      <c r="B149" s="18" t="s">
        <v>52</v>
      </c>
      <c r="C149" s="59" t="s">
        <v>210</v>
      </c>
      <c r="D149" s="60"/>
    </row>
    <row r="150" spans="1:4" x14ac:dyDescent="0.25">
      <c r="A150" s="18"/>
      <c r="B150" s="12" t="s">
        <v>194</v>
      </c>
      <c r="C150" s="53" t="s">
        <v>195</v>
      </c>
      <c r="D150" s="17">
        <f>650+29+85</f>
        <v>764</v>
      </c>
    </row>
    <row r="151" spans="1:4" x14ac:dyDescent="0.25">
      <c r="A151" s="18"/>
      <c r="B151" s="33" t="s">
        <v>196</v>
      </c>
      <c r="C151" s="54" t="s">
        <v>197</v>
      </c>
      <c r="D151" s="17">
        <f>650+29+85</f>
        <v>764</v>
      </c>
    </row>
    <row r="152" spans="1:4" x14ac:dyDescent="0.25">
      <c r="A152" s="18" t="s">
        <v>30</v>
      </c>
      <c r="B152" s="18" t="s">
        <v>53</v>
      </c>
      <c r="C152" s="5" t="s">
        <v>54</v>
      </c>
      <c r="D152" s="17"/>
    </row>
    <row r="153" spans="1:4" x14ac:dyDescent="0.25">
      <c r="A153" s="18"/>
      <c r="B153" s="12" t="s">
        <v>194</v>
      </c>
      <c r="C153" s="53" t="s">
        <v>195</v>
      </c>
      <c r="D153" s="17">
        <f>25+7+6</f>
        <v>38</v>
      </c>
    </row>
    <row r="154" spans="1:4" x14ac:dyDescent="0.25">
      <c r="A154" s="18"/>
      <c r="B154" s="33" t="s">
        <v>196</v>
      </c>
      <c r="C154" s="54" t="s">
        <v>197</v>
      </c>
      <c r="D154" s="17">
        <f>25+7+6</f>
        <v>38</v>
      </c>
    </row>
    <row r="155" spans="1:4" x14ac:dyDescent="0.25">
      <c r="A155" s="18" t="s">
        <v>30</v>
      </c>
      <c r="B155" s="18" t="s">
        <v>55</v>
      </c>
      <c r="C155" s="5" t="s">
        <v>56</v>
      </c>
      <c r="D155" s="17"/>
    </row>
    <row r="156" spans="1:4" x14ac:dyDescent="0.25">
      <c r="A156" s="18"/>
      <c r="B156" s="12" t="s">
        <v>194</v>
      </c>
      <c r="C156" s="53" t="s">
        <v>195</v>
      </c>
      <c r="D156" s="17">
        <f>214+10+34</f>
        <v>258</v>
      </c>
    </row>
    <row r="157" spans="1:4" x14ac:dyDescent="0.25">
      <c r="A157" s="18"/>
      <c r="B157" s="33" t="s">
        <v>196</v>
      </c>
      <c r="C157" s="54" t="s">
        <v>197</v>
      </c>
      <c r="D157" s="17">
        <f>214+10+34</f>
        <v>258</v>
      </c>
    </row>
    <row r="158" spans="1:4" ht="25.5" x14ac:dyDescent="0.25">
      <c r="A158" s="18" t="s">
        <v>30</v>
      </c>
      <c r="B158" s="18" t="s">
        <v>57</v>
      </c>
      <c r="C158" s="5" t="s">
        <v>211</v>
      </c>
      <c r="D158" s="17"/>
    </row>
    <row r="159" spans="1:4" x14ac:dyDescent="0.25">
      <c r="A159" s="18"/>
      <c r="B159" s="12" t="s">
        <v>194</v>
      </c>
      <c r="C159" s="53" t="s">
        <v>195</v>
      </c>
      <c r="D159" s="17">
        <f>16+1+1</f>
        <v>18</v>
      </c>
    </row>
    <row r="160" spans="1:4" x14ac:dyDescent="0.25">
      <c r="A160" s="18"/>
      <c r="B160" s="33" t="s">
        <v>196</v>
      </c>
      <c r="C160" s="54" t="s">
        <v>197</v>
      </c>
      <c r="D160" s="17">
        <f>16+1+1</f>
        <v>18</v>
      </c>
    </row>
    <row r="161" spans="1:5" hidden="1" x14ac:dyDescent="0.25">
      <c r="A161" s="18" t="s">
        <v>30</v>
      </c>
      <c r="B161" s="18" t="s">
        <v>169</v>
      </c>
      <c r="C161" s="5" t="s">
        <v>170</v>
      </c>
      <c r="D161" s="17"/>
    </row>
    <row r="162" spans="1:5" hidden="1" x14ac:dyDescent="0.25">
      <c r="A162" s="18"/>
      <c r="B162" s="12" t="s">
        <v>194</v>
      </c>
      <c r="C162" s="53" t="s">
        <v>195</v>
      </c>
      <c r="D162" s="17">
        <v>0</v>
      </c>
    </row>
    <row r="163" spans="1:5" hidden="1" x14ac:dyDescent="0.25">
      <c r="A163" s="18"/>
      <c r="B163" s="33" t="s">
        <v>196</v>
      </c>
      <c r="C163" s="54" t="s">
        <v>197</v>
      </c>
      <c r="D163" s="17">
        <v>0</v>
      </c>
    </row>
    <row r="164" spans="1:5" x14ac:dyDescent="0.25">
      <c r="A164" s="18" t="s">
        <v>30</v>
      </c>
      <c r="B164" s="18" t="s">
        <v>58</v>
      </c>
      <c r="C164" s="5" t="s">
        <v>212</v>
      </c>
      <c r="D164" s="17"/>
    </row>
    <row r="165" spans="1:5" x14ac:dyDescent="0.25">
      <c r="A165" s="18"/>
      <c r="B165" s="12" t="s">
        <v>194</v>
      </c>
      <c r="C165" s="53" t="s">
        <v>195</v>
      </c>
      <c r="D165" s="17">
        <f>40+2+2</f>
        <v>44</v>
      </c>
    </row>
    <row r="166" spans="1:5" x14ac:dyDescent="0.25">
      <c r="A166" s="18"/>
      <c r="B166" s="33" t="s">
        <v>196</v>
      </c>
      <c r="C166" s="54" t="s">
        <v>197</v>
      </c>
      <c r="D166" s="17">
        <f>40+2+2</f>
        <v>44</v>
      </c>
    </row>
    <row r="167" spans="1:5" x14ac:dyDescent="0.25">
      <c r="A167" s="12" t="s">
        <v>30</v>
      </c>
      <c r="B167" s="12" t="s">
        <v>162</v>
      </c>
      <c r="C167" s="61" t="s">
        <v>163</v>
      </c>
      <c r="D167" s="62"/>
    </row>
    <row r="168" spans="1:5" x14ac:dyDescent="0.25">
      <c r="A168" s="12"/>
      <c r="B168" s="12" t="s">
        <v>194</v>
      </c>
      <c r="C168" s="53" t="s">
        <v>195</v>
      </c>
      <c r="D168" s="88">
        <f>14873-122-438</f>
        <v>14313</v>
      </c>
    </row>
    <row r="169" spans="1:5" x14ac:dyDescent="0.25">
      <c r="A169" s="12"/>
      <c r="B169" s="33" t="s">
        <v>196</v>
      </c>
      <c r="C169" s="54" t="s">
        <v>197</v>
      </c>
      <c r="D169" s="88">
        <f>14873-122-438</f>
        <v>14313</v>
      </c>
    </row>
    <row r="170" spans="1:5" x14ac:dyDescent="0.25">
      <c r="A170" s="12" t="s">
        <v>30</v>
      </c>
      <c r="B170" s="12" t="s">
        <v>171</v>
      </c>
      <c r="C170" s="61" t="s">
        <v>172</v>
      </c>
      <c r="D170" s="62"/>
    </row>
    <row r="171" spans="1:5" x14ac:dyDescent="0.25">
      <c r="A171" s="12"/>
      <c r="B171" s="12" t="s">
        <v>194</v>
      </c>
      <c r="C171" s="53" t="s">
        <v>195</v>
      </c>
      <c r="D171" s="17">
        <f>0+132</f>
        <v>132</v>
      </c>
    </row>
    <row r="172" spans="1:5" x14ac:dyDescent="0.25">
      <c r="A172" s="12"/>
      <c r="B172" s="33" t="s">
        <v>196</v>
      </c>
      <c r="C172" s="54" t="s">
        <v>197</v>
      </c>
      <c r="D172" s="17">
        <f>0+132</f>
        <v>132</v>
      </c>
    </row>
    <row r="173" spans="1:5" x14ac:dyDescent="0.25">
      <c r="A173" s="15" t="s">
        <v>30</v>
      </c>
      <c r="B173" s="43">
        <v>20</v>
      </c>
      <c r="C173" s="25" t="s">
        <v>213</v>
      </c>
      <c r="D173" s="27"/>
    </row>
    <row r="174" spans="1:5" x14ac:dyDescent="0.25">
      <c r="A174" s="15"/>
      <c r="B174" s="15" t="s">
        <v>194</v>
      </c>
      <c r="C174" s="25" t="s">
        <v>195</v>
      </c>
      <c r="D174" s="27">
        <f t="shared" ref="D174" si="9">D177+D213+D210+D219+D234+D246+D255+D258+D261+D264+D267+D270+D273+D276+D279+D285+D288</f>
        <v>363856</v>
      </c>
      <c r="E174" s="95"/>
    </row>
    <row r="175" spans="1:5" x14ac:dyDescent="0.25">
      <c r="A175" s="15"/>
      <c r="B175" s="15" t="s">
        <v>196</v>
      </c>
      <c r="C175" s="25" t="s">
        <v>197</v>
      </c>
      <c r="D175" s="27">
        <f>D178+D214+D211+D220+D235+D247+D256+D259+D262+D265+D268+D271+D274+D277+D280+D286+D289</f>
        <v>363856</v>
      </c>
      <c r="E175" s="95"/>
    </row>
    <row r="176" spans="1:5" x14ac:dyDescent="0.25">
      <c r="A176" s="15" t="s">
        <v>30</v>
      </c>
      <c r="B176" s="43" t="s">
        <v>59</v>
      </c>
      <c r="C176" s="2" t="s">
        <v>214</v>
      </c>
      <c r="D176" s="16"/>
      <c r="E176" s="95"/>
    </row>
    <row r="177" spans="1:5" x14ac:dyDescent="0.25">
      <c r="A177" s="15"/>
      <c r="B177" s="15" t="s">
        <v>194</v>
      </c>
      <c r="C177" s="25" t="s">
        <v>195</v>
      </c>
      <c r="D177" s="16">
        <f t="shared" ref="D177:D178" si="10">D180+D183+D186+D189+D192+D195+D198+D201+D204+D207</f>
        <v>127464</v>
      </c>
      <c r="E177" s="95"/>
    </row>
    <row r="178" spans="1:5" x14ac:dyDescent="0.25">
      <c r="A178" s="15"/>
      <c r="B178" s="15" t="s">
        <v>196</v>
      </c>
      <c r="C178" s="25" t="s">
        <v>197</v>
      </c>
      <c r="D178" s="16">
        <f t="shared" si="10"/>
        <v>127464</v>
      </c>
      <c r="E178" s="95"/>
    </row>
    <row r="179" spans="1:5" x14ac:dyDescent="0.25">
      <c r="A179" s="18" t="s">
        <v>30</v>
      </c>
      <c r="B179" s="11" t="s">
        <v>60</v>
      </c>
      <c r="C179" s="5" t="s">
        <v>61</v>
      </c>
      <c r="D179" s="63"/>
      <c r="E179" s="95"/>
    </row>
    <row r="180" spans="1:5" x14ac:dyDescent="0.25">
      <c r="A180" s="18"/>
      <c r="B180" s="12" t="s">
        <v>194</v>
      </c>
      <c r="C180" s="53" t="s">
        <v>195</v>
      </c>
      <c r="D180" s="88">
        <f>1273+103+194</f>
        <v>1570</v>
      </c>
      <c r="E180" s="95"/>
    </row>
    <row r="181" spans="1:5" x14ac:dyDescent="0.25">
      <c r="A181" s="18"/>
      <c r="B181" s="33" t="s">
        <v>196</v>
      </c>
      <c r="C181" s="54" t="s">
        <v>197</v>
      </c>
      <c r="D181" s="88">
        <f>1273+103+194</f>
        <v>1570</v>
      </c>
      <c r="E181" s="95"/>
    </row>
    <row r="182" spans="1:5" x14ac:dyDescent="0.25">
      <c r="A182" s="18" t="s">
        <v>30</v>
      </c>
      <c r="B182" s="11" t="s">
        <v>62</v>
      </c>
      <c r="C182" s="5" t="s">
        <v>215</v>
      </c>
      <c r="D182" s="63"/>
      <c r="E182" s="95"/>
    </row>
    <row r="183" spans="1:5" x14ac:dyDescent="0.25">
      <c r="A183" s="18"/>
      <c r="B183" s="12" t="s">
        <v>194</v>
      </c>
      <c r="C183" s="53" t="s">
        <v>195</v>
      </c>
      <c r="D183" s="17">
        <f>662+45+113</f>
        <v>820</v>
      </c>
      <c r="E183" s="95"/>
    </row>
    <row r="184" spans="1:5" x14ac:dyDescent="0.25">
      <c r="A184" s="18"/>
      <c r="B184" s="33" t="s">
        <v>196</v>
      </c>
      <c r="C184" s="54" t="s">
        <v>197</v>
      </c>
      <c r="D184" s="17">
        <f>662+45+113</f>
        <v>820</v>
      </c>
      <c r="E184" s="95"/>
    </row>
    <row r="185" spans="1:5" x14ac:dyDescent="0.25">
      <c r="A185" s="18" t="s">
        <v>30</v>
      </c>
      <c r="B185" s="11" t="s">
        <v>63</v>
      </c>
      <c r="C185" s="5" t="s">
        <v>216</v>
      </c>
      <c r="D185" s="63"/>
      <c r="E185" s="95"/>
    </row>
    <row r="186" spans="1:5" x14ac:dyDescent="0.25">
      <c r="A186" s="18"/>
      <c r="B186" s="12" t="s">
        <v>194</v>
      </c>
      <c r="C186" s="53" t="s">
        <v>195</v>
      </c>
      <c r="D186" s="17">
        <f>34700-2852+2374</f>
        <v>34222</v>
      </c>
      <c r="E186" s="95"/>
    </row>
    <row r="187" spans="1:5" x14ac:dyDescent="0.25">
      <c r="A187" s="18"/>
      <c r="B187" s="33" t="s">
        <v>196</v>
      </c>
      <c r="C187" s="54" t="s">
        <v>197</v>
      </c>
      <c r="D187" s="17">
        <f>34700-2852+2374</f>
        <v>34222</v>
      </c>
      <c r="E187" s="95"/>
    </row>
    <row r="188" spans="1:5" x14ac:dyDescent="0.25">
      <c r="A188" s="18" t="s">
        <v>30</v>
      </c>
      <c r="B188" s="11" t="s">
        <v>64</v>
      </c>
      <c r="C188" s="5" t="s">
        <v>217</v>
      </c>
      <c r="D188" s="63"/>
      <c r="E188" s="95"/>
    </row>
    <row r="189" spans="1:5" x14ac:dyDescent="0.25">
      <c r="A189" s="18"/>
      <c r="B189" s="12" t="s">
        <v>194</v>
      </c>
      <c r="C189" s="53" t="s">
        <v>195</v>
      </c>
      <c r="D189" s="17">
        <f>1584+48+132</f>
        <v>1764</v>
      </c>
      <c r="E189" s="95"/>
    </row>
    <row r="190" spans="1:5" x14ac:dyDescent="0.25">
      <c r="A190" s="18"/>
      <c r="B190" s="33" t="s">
        <v>196</v>
      </c>
      <c r="C190" s="54" t="s">
        <v>197</v>
      </c>
      <c r="D190" s="17">
        <f>1584+48+132</f>
        <v>1764</v>
      </c>
      <c r="E190" s="95"/>
    </row>
    <row r="191" spans="1:5" x14ac:dyDescent="0.25">
      <c r="A191" s="18" t="s">
        <v>30</v>
      </c>
      <c r="B191" s="11" t="s">
        <v>65</v>
      </c>
      <c r="C191" s="5" t="s">
        <v>218</v>
      </c>
      <c r="D191" s="63"/>
      <c r="E191" s="95"/>
    </row>
    <row r="192" spans="1:5" x14ac:dyDescent="0.25">
      <c r="A192" s="18"/>
      <c r="B192" s="12" t="s">
        <v>194</v>
      </c>
      <c r="C192" s="53" t="s">
        <v>195</v>
      </c>
      <c r="D192" s="88">
        <f>21737+500-221-279+1034+5675+65</f>
        <v>28511</v>
      </c>
      <c r="E192" s="95"/>
    </row>
    <row r="193" spans="1:5" x14ac:dyDescent="0.25">
      <c r="A193" s="18"/>
      <c r="B193" s="33" t="s">
        <v>196</v>
      </c>
      <c r="C193" s="54" t="s">
        <v>197</v>
      </c>
      <c r="D193" s="88">
        <f>21737+500-221-279+1034+5675+65</f>
        <v>28511</v>
      </c>
      <c r="E193" s="95"/>
    </row>
    <row r="194" spans="1:5" x14ac:dyDescent="0.25">
      <c r="A194" s="18" t="s">
        <v>30</v>
      </c>
      <c r="B194" s="11" t="s">
        <v>66</v>
      </c>
      <c r="C194" s="5" t="s">
        <v>67</v>
      </c>
      <c r="D194" s="63"/>
      <c r="E194" s="95"/>
    </row>
    <row r="195" spans="1:5" x14ac:dyDescent="0.25">
      <c r="A195" s="18"/>
      <c r="B195" s="12" t="s">
        <v>194</v>
      </c>
      <c r="C195" s="53" t="s">
        <v>195</v>
      </c>
      <c r="D195" s="17">
        <f>11624-392+566+375</f>
        <v>12173</v>
      </c>
      <c r="E195" s="95"/>
    </row>
    <row r="196" spans="1:5" x14ac:dyDescent="0.25">
      <c r="A196" s="18"/>
      <c r="B196" s="33" t="s">
        <v>196</v>
      </c>
      <c r="C196" s="54" t="s">
        <v>197</v>
      </c>
      <c r="D196" s="17">
        <f>11624-392+566+375</f>
        <v>12173</v>
      </c>
      <c r="E196" s="95"/>
    </row>
    <row r="197" spans="1:5" x14ac:dyDescent="0.25">
      <c r="A197" s="18" t="s">
        <v>30</v>
      </c>
      <c r="B197" s="11" t="s">
        <v>68</v>
      </c>
      <c r="C197" s="5" t="s">
        <v>69</v>
      </c>
      <c r="D197" s="63"/>
      <c r="E197" s="95"/>
    </row>
    <row r="198" spans="1:5" x14ac:dyDescent="0.25">
      <c r="A198" s="18"/>
      <c r="B198" s="12" t="s">
        <v>194</v>
      </c>
      <c r="C198" s="53" t="s">
        <v>195</v>
      </c>
      <c r="D198" s="17">
        <f>261+12+26</f>
        <v>299</v>
      </c>
      <c r="E198" s="95"/>
    </row>
    <row r="199" spans="1:5" x14ac:dyDescent="0.25">
      <c r="A199" s="18"/>
      <c r="B199" s="33" t="s">
        <v>196</v>
      </c>
      <c r="C199" s="54" t="s">
        <v>197</v>
      </c>
      <c r="D199" s="17">
        <f>261+12+26</f>
        <v>299</v>
      </c>
      <c r="E199" s="95"/>
    </row>
    <row r="200" spans="1:5" x14ac:dyDescent="0.25">
      <c r="A200" s="18" t="s">
        <v>30</v>
      </c>
      <c r="B200" s="11" t="s">
        <v>70</v>
      </c>
      <c r="C200" s="5" t="s">
        <v>219</v>
      </c>
      <c r="D200" s="63"/>
      <c r="E200" s="95"/>
    </row>
    <row r="201" spans="1:5" x14ac:dyDescent="0.25">
      <c r="A201" s="18"/>
      <c r="B201" s="12" t="s">
        <v>194</v>
      </c>
      <c r="C201" s="53" t="s">
        <v>195</v>
      </c>
      <c r="D201" s="17">
        <f>5151+253+143</f>
        <v>5547</v>
      </c>
      <c r="E201" s="95"/>
    </row>
    <row r="202" spans="1:5" x14ac:dyDescent="0.25">
      <c r="A202" s="18"/>
      <c r="B202" s="33" t="s">
        <v>196</v>
      </c>
      <c r="C202" s="54" t="s">
        <v>197</v>
      </c>
      <c r="D202" s="17">
        <f>5151+253+143</f>
        <v>5547</v>
      </c>
      <c r="E202" s="95"/>
    </row>
    <row r="203" spans="1:5" x14ac:dyDescent="0.25">
      <c r="A203" s="18" t="s">
        <v>30</v>
      </c>
      <c r="B203" s="11" t="s">
        <v>71</v>
      </c>
      <c r="C203" s="5" t="s">
        <v>220</v>
      </c>
      <c r="D203" s="63"/>
      <c r="E203" s="95"/>
    </row>
    <row r="204" spans="1:5" x14ac:dyDescent="0.25">
      <c r="A204" s="18"/>
      <c r="B204" s="12" t="s">
        <v>194</v>
      </c>
      <c r="C204" s="53" t="s">
        <v>195</v>
      </c>
      <c r="D204" s="88">
        <f>15568+563-221-342+344+1634+46</f>
        <v>17592</v>
      </c>
      <c r="E204" s="95"/>
    </row>
    <row r="205" spans="1:5" x14ac:dyDescent="0.25">
      <c r="A205" s="18"/>
      <c r="B205" s="33" t="s">
        <v>196</v>
      </c>
      <c r="C205" s="54" t="s">
        <v>197</v>
      </c>
      <c r="D205" s="88">
        <f>15568+563-221-342+344+1634+46</f>
        <v>17592</v>
      </c>
      <c r="E205" s="95"/>
    </row>
    <row r="206" spans="1:5" x14ac:dyDescent="0.25">
      <c r="A206" s="18" t="s">
        <v>30</v>
      </c>
      <c r="B206" s="11" t="s">
        <v>72</v>
      </c>
      <c r="C206" s="5" t="s">
        <v>221</v>
      </c>
      <c r="D206" s="63"/>
      <c r="E206" s="95"/>
    </row>
    <row r="207" spans="1:5" x14ac:dyDescent="0.25">
      <c r="A207" s="18"/>
      <c r="B207" s="12" t="s">
        <v>194</v>
      </c>
      <c r="C207" s="53" t="s">
        <v>195</v>
      </c>
      <c r="D207" s="17">
        <f>21408+739+2587+156-1+77</f>
        <v>24966</v>
      </c>
      <c r="E207" s="95"/>
    </row>
    <row r="208" spans="1:5" x14ac:dyDescent="0.25">
      <c r="A208" s="18"/>
      <c r="B208" s="33" t="s">
        <v>196</v>
      </c>
      <c r="C208" s="54" t="s">
        <v>197</v>
      </c>
      <c r="D208" s="17">
        <f>21408+739+2587+156-1+77</f>
        <v>24966</v>
      </c>
      <c r="E208" s="95"/>
    </row>
    <row r="209" spans="1:5" x14ac:dyDescent="0.25">
      <c r="A209" s="28" t="s">
        <v>30</v>
      </c>
      <c r="B209" s="44" t="s">
        <v>73</v>
      </c>
      <c r="C209" s="6" t="s">
        <v>222</v>
      </c>
      <c r="D209" s="20"/>
      <c r="E209" s="95"/>
    </row>
    <row r="210" spans="1:5" x14ac:dyDescent="0.25">
      <c r="A210" s="28"/>
      <c r="B210" s="15" t="s">
        <v>194</v>
      </c>
      <c r="C210" s="25" t="s">
        <v>195</v>
      </c>
      <c r="D210" s="16">
        <f>20317+1500-1500+741+2641+143-77</f>
        <v>23765</v>
      </c>
      <c r="E210" s="95"/>
    </row>
    <row r="211" spans="1:5" x14ac:dyDescent="0.25">
      <c r="A211" s="28"/>
      <c r="B211" s="15" t="s">
        <v>196</v>
      </c>
      <c r="C211" s="25" t="s">
        <v>197</v>
      </c>
      <c r="D211" s="16">
        <f>20317+1500-1500+741+2641+143-77</f>
        <v>23765</v>
      </c>
      <c r="E211" s="95"/>
    </row>
    <row r="212" spans="1:5" x14ac:dyDescent="0.25">
      <c r="A212" s="15" t="s">
        <v>30</v>
      </c>
      <c r="B212" s="45" t="s">
        <v>74</v>
      </c>
      <c r="C212" s="2" t="s">
        <v>223</v>
      </c>
      <c r="D212" s="16"/>
      <c r="E212" s="95"/>
    </row>
    <row r="213" spans="1:5" x14ac:dyDescent="0.25">
      <c r="A213" s="15"/>
      <c r="B213" s="15" t="s">
        <v>194</v>
      </c>
      <c r="C213" s="25" t="s">
        <v>195</v>
      </c>
      <c r="D213" s="16">
        <f t="shared" ref="D213:D214" si="11">D216</f>
        <v>421</v>
      </c>
      <c r="E213" s="95"/>
    </row>
    <row r="214" spans="1:5" x14ac:dyDescent="0.25">
      <c r="A214" s="15"/>
      <c r="B214" s="15" t="s">
        <v>196</v>
      </c>
      <c r="C214" s="25" t="s">
        <v>197</v>
      </c>
      <c r="D214" s="20">
        <f t="shared" si="11"/>
        <v>421</v>
      </c>
      <c r="E214" s="95"/>
    </row>
    <row r="215" spans="1:5" x14ac:dyDescent="0.25">
      <c r="A215" s="18" t="s">
        <v>30</v>
      </c>
      <c r="B215" s="11" t="s">
        <v>75</v>
      </c>
      <c r="C215" s="5" t="s">
        <v>224</v>
      </c>
      <c r="D215" s="17"/>
      <c r="E215" s="95"/>
    </row>
    <row r="216" spans="1:5" x14ac:dyDescent="0.25">
      <c r="A216" s="18"/>
      <c r="B216" s="12" t="s">
        <v>194</v>
      </c>
      <c r="C216" s="53" t="s">
        <v>195</v>
      </c>
      <c r="D216" s="17">
        <f>426-5</f>
        <v>421</v>
      </c>
      <c r="E216" s="95"/>
    </row>
    <row r="217" spans="1:5" x14ac:dyDescent="0.25">
      <c r="A217" s="18"/>
      <c r="B217" s="33" t="s">
        <v>196</v>
      </c>
      <c r="C217" s="54" t="s">
        <v>197</v>
      </c>
      <c r="D217" s="17">
        <f>426-5</f>
        <v>421</v>
      </c>
      <c r="E217" s="95"/>
    </row>
    <row r="218" spans="1:5" x14ac:dyDescent="0.25">
      <c r="A218" s="15" t="s">
        <v>30</v>
      </c>
      <c r="B218" s="43" t="s">
        <v>76</v>
      </c>
      <c r="C218" s="2" t="s">
        <v>77</v>
      </c>
      <c r="D218" s="16"/>
      <c r="E218" s="95"/>
    </row>
    <row r="219" spans="1:5" x14ac:dyDescent="0.25">
      <c r="A219" s="15"/>
      <c r="B219" s="15" t="s">
        <v>194</v>
      </c>
      <c r="C219" s="25" t="s">
        <v>195</v>
      </c>
      <c r="D219" s="16">
        <f t="shared" ref="D219:D220" si="12">D222+D225+D228+D231</f>
        <v>1699</v>
      </c>
      <c r="E219" s="95"/>
    </row>
    <row r="220" spans="1:5" x14ac:dyDescent="0.25">
      <c r="A220" s="15"/>
      <c r="B220" s="15" t="s">
        <v>196</v>
      </c>
      <c r="C220" s="25" t="s">
        <v>197</v>
      </c>
      <c r="D220" s="16">
        <f t="shared" si="12"/>
        <v>1699</v>
      </c>
      <c r="E220" s="95"/>
    </row>
    <row r="221" spans="1:5" x14ac:dyDescent="0.25">
      <c r="A221" s="18" t="s">
        <v>30</v>
      </c>
      <c r="B221" s="11" t="s">
        <v>78</v>
      </c>
      <c r="C221" s="5" t="s">
        <v>79</v>
      </c>
      <c r="D221" s="17"/>
      <c r="E221" s="95"/>
    </row>
    <row r="222" spans="1:5" x14ac:dyDescent="0.25">
      <c r="A222" s="18"/>
      <c r="B222" s="12" t="s">
        <v>194</v>
      </c>
      <c r="C222" s="53" t="s">
        <v>195</v>
      </c>
      <c r="D222" s="17">
        <f>12+5-4</f>
        <v>13</v>
      </c>
      <c r="E222" s="95"/>
    </row>
    <row r="223" spans="1:5" x14ac:dyDescent="0.25">
      <c r="A223" s="18"/>
      <c r="B223" s="33" t="s">
        <v>196</v>
      </c>
      <c r="C223" s="54" t="s">
        <v>197</v>
      </c>
      <c r="D223" s="17">
        <f>12+5-4</f>
        <v>13</v>
      </c>
      <c r="E223" s="95"/>
    </row>
    <row r="224" spans="1:5" x14ac:dyDescent="0.25">
      <c r="A224" s="18" t="s">
        <v>30</v>
      </c>
      <c r="B224" s="11" t="s">
        <v>80</v>
      </c>
      <c r="C224" s="5" t="s">
        <v>81</v>
      </c>
      <c r="D224" s="17"/>
      <c r="E224" s="95"/>
    </row>
    <row r="225" spans="1:5" x14ac:dyDescent="0.25">
      <c r="A225" s="18"/>
      <c r="B225" s="12" t="s">
        <v>194</v>
      </c>
      <c r="C225" s="53" t="s">
        <v>195</v>
      </c>
      <c r="D225" s="17">
        <f>115-17</f>
        <v>98</v>
      </c>
      <c r="E225" s="95"/>
    </row>
    <row r="226" spans="1:5" x14ac:dyDescent="0.25">
      <c r="A226" s="18"/>
      <c r="B226" s="33" t="s">
        <v>196</v>
      </c>
      <c r="C226" s="54" t="s">
        <v>197</v>
      </c>
      <c r="D226" s="17">
        <f>115-17</f>
        <v>98</v>
      </c>
      <c r="E226" s="95"/>
    </row>
    <row r="227" spans="1:5" x14ac:dyDescent="0.25">
      <c r="A227" s="18" t="s">
        <v>30</v>
      </c>
      <c r="B227" s="11" t="s">
        <v>82</v>
      </c>
      <c r="C227" s="5" t="s">
        <v>83</v>
      </c>
      <c r="D227" s="17"/>
      <c r="E227" s="95"/>
    </row>
    <row r="228" spans="1:5" x14ac:dyDescent="0.25">
      <c r="A228" s="18"/>
      <c r="B228" s="12" t="s">
        <v>194</v>
      </c>
      <c r="C228" s="53" t="s">
        <v>195</v>
      </c>
      <c r="D228" s="17">
        <f>1363+36+126+25</f>
        <v>1550</v>
      </c>
      <c r="E228" s="95"/>
    </row>
    <row r="229" spans="1:5" x14ac:dyDescent="0.25">
      <c r="A229" s="18"/>
      <c r="B229" s="33" t="s">
        <v>196</v>
      </c>
      <c r="C229" s="54" t="s">
        <v>197</v>
      </c>
      <c r="D229" s="17">
        <f>1363+36+126+25</f>
        <v>1550</v>
      </c>
      <c r="E229" s="95"/>
    </row>
    <row r="230" spans="1:5" x14ac:dyDescent="0.25">
      <c r="A230" s="18" t="s">
        <v>30</v>
      </c>
      <c r="B230" s="11" t="s">
        <v>84</v>
      </c>
      <c r="C230" s="5" t="s">
        <v>225</v>
      </c>
      <c r="D230" s="17"/>
      <c r="E230" s="95"/>
    </row>
    <row r="231" spans="1:5" x14ac:dyDescent="0.25">
      <c r="A231" s="18"/>
      <c r="B231" s="12" t="s">
        <v>194</v>
      </c>
      <c r="C231" s="53" t="s">
        <v>195</v>
      </c>
      <c r="D231" s="17">
        <f>75-37</f>
        <v>38</v>
      </c>
      <c r="E231" s="95"/>
    </row>
    <row r="232" spans="1:5" x14ac:dyDescent="0.25">
      <c r="A232" s="18"/>
      <c r="B232" s="33" t="s">
        <v>196</v>
      </c>
      <c r="C232" s="54" t="s">
        <v>197</v>
      </c>
      <c r="D232" s="17">
        <f>75-37</f>
        <v>38</v>
      </c>
      <c r="E232" s="95"/>
    </row>
    <row r="233" spans="1:5" x14ac:dyDescent="0.25">
      <c r="A233" s="15" t="s">
        <v>30</v>
      </c>
      <c r="B233" s="43" t="s">
        <v>85</v>
      </c>
      <c r="C233" s="2" t="s">
        <v>86</v>
      </c>
      <c r="D233" s="16"/>
      <c r="E233" s="95"/>
    </row>
    <row r="234" spans="1:5" x14ac:dyDescent="0.25">
      <c r="A234" s="15"/>
      <c r="B234" s="15" t="s">
        <v>194</v>
      </c>
      <c r="C234" s="25" t="s">
        <v>195</v>
      </c>
      <c r="D234" s="16">
        <f t="shared" ref="D234:D235" si="13">D237+D240+D243</f>
        <v>5435</v>
      </c>
      <c r="E234" s="95"/>
    </row>
    <row r="235" spans="1:5" x14ac:dyDescent="0.25">
      <c r="A235" s="15"/>
      <c r="B235" s="15" t="s">
        <v>196</v>
      </c>
      <c r="C235" s="25" t="s">
        <v>197</v>
      </c>
      <c r="D235" s="16">
        <f t="shared" si="13"/>
        <v>5435</v>
      </c>
      <c r="E235" s="95"/>
    </row>
    <row r="236" spans="1:5" x14ac:dyDescent="0.25">
      <c r="A236" s="18" t="s">
        <v>30</v>
      </c>
      <c r="B236" s="11" t="s">
        <v>87</v>
      </c>
      <c r="C236" s="5" t="s">
        <v>226</v>
      </c>
      <c r="D236" s="17"/>
      <c r="E236" s="95"/>
    </row>
    <row r="237" spans="1:5" x14ac:dyDescent="0.25">
      <c r="A237" s="18"/>
      <c r="B237" s="12" t="s">
        <v>194</v>
      </c>
      <c r="C237" s="53" t="s">
        <v>195</v>
      </c>
      <c r="D237" s="17">
        <f>1140-48+250</f>
        <v>1342</v>
      </c>
      <c r="E237" s="95"/>
    </row>
    <row r="238" spans="1:5" x14ac:dyDescent="0.25">
      <c r="A238" s="18"/>
      <c r="B238" s="33" t="s">
        <v>196</v>
      </c>
      <c r="C238" s="54" t="s">
        <v>197</v>
      </c>
      <c r="D238" s="17">
        <f>1140-48+250</f>
        <v>1342</v>
      </c>
      <c r="E238" s="95"/>
    </row>
    <row r="239" spans="1:5" x14ac:dyDescent="0.25">
      <c r="A239" s="18" t="s">
        <v>30</v>
      </c>
      <c r="B239" s="11" t="s">
        <v>88</v>
      </c>
      <c r="C239" s="5" t="s">
        <v>227</v>
      </c>
      <c r="D239" s="17"/>
      <c r="E239" s="95"/>
    </row>
    <row r="240" spans="1:5" x14ac:dyDescent="0.25">
      <c r="A240" s="18"/>
      <c r="B240" s="12" t="s">
        <v>194</v>
      </c>
      <c r="C240" s="53" t="s">
        <v>195</v>
      </c>
      <c r="D240" s="17">
        <f>103+1-15</f>
        <v>89</v>
      </c>
      <c r="E240" s="95"/>
    </row>
    <row r="241" spans="1:5" x14ac:dyDescent="0.25">
      <c r="A241" s="18"/>
      <c r="B241" s="33" t="s">
        <v>196</v>
      </c>
      <c r="C241" s="54" t="s">
        <v>197</v>
      </c>
      <c r="D241" s="17">
        <f>103+1-15</f>
        <v>89</v>
      </c>
      <c r="E241" s="95"/>
    </row>
    <row r="242" spans="1:5" x14ac:dyDescent="0.25">
      <c r="A242" s="18" t="s">
        <v>30</v>
      </c>
      <c r="B242" s="11" t="s">
        <v>89</v>
      </c>
      <c r="C242" s="5" t="s">
        <v>90</v>
      </c>
      <c r="D242" s="17"/>
      <c r="E242" s="95"/>
    </row>
    <row r="243" spans="1:5" x14ac:dyDescent="0.25">
      <c r="A243" s="18"/>
      <c r="B243" s="12" t="s">
        <v>194</v>
      </c>
      <c r="C243" s="53" t="s">
        <v>195</v>
      </c>
      <c r="D243" s="17">
        <f>2968+74+952+10</f>
        <v>4004</v>
      </c>
      <c r="E243" s="95"/>
    </row>
    <row r="244" spans="1:5" x14ac:dyDescent="0.25">
      <c r="A244" s="18"/>
      <c r="B244" s="33" t="s">
        <v>196</v>
      </c>
      <c r="C244" s="54" t="s">
        <v>197</v>
      </c>
      <c r="D244" s="17">
        <f>2968+74+952+10</f>
        <v>4004</v>
      </c>
      <c r="E244" s="95"/>
    </row>
    <row r="245" spans="1:5" x14ac:dyDescent="0.25">
      <c r="A245" s="15" t="s">
        <v>30</v>
      </c>
      <c r="B245" s="43" t="s">
        <v>91</v>
      </c>
      <c r="C245" s="2" t="s">
        <v>228</v>
      </c>
      <c r="D245" s="16"/>
      <c r="E245" s="95"/>
    </row>
    <row r="246" spans="1:5" x14ac:dyDescent="0.25">
      <c r="A246" s="15"/>
      <c r="B246" s="15" t="s">
        <v>194</v>
      </c>
      <c r="C246" s="25" t="s">
        <v>195</v>
      </c>
      <c r="D246" s="16">
        <f t="shared" ref="D246:D247" si="14">D249+D252</f>
        <v>2813</v>
      </c>
      <c r="E246" s="95"/>
    </row>
    <row r="247" spans="1:5" x14ac:dyDescent="0.25">
      <c r="A247" s="15"/>
      <c r="B247" s="15" t="s">
        <v>196</v>
      </c>
      <c r="C247" s="25" t="s">
        <v>197</v>
      </c>
      <c r="D247" s="16">
        <f t="shared" si="14"/>
        <v>2813</v>
      </c>
      <c r="E247" s="95"/>
    </row>
    <row r="248" spans="1:5" x14ac:dyDescent="0.25">
      <c r="A248" s="18" t="s">
        <v>30</v>
      </c>
      <c r="B248" s="11" t="s">
        <v>92</v>
      </c>
      <c r="C248" s="5" t="s">
        <v>229</v>
      </c>
      <c r="D248" s="17"/>
      <c r="E248" s="95"/>
    </row>
    <row r="249" spans="1:5" x14ac:dyDescent="0.25">
      <c r="A249" s="18"/>
      <c r="B249" s="12" t="s">
        <v>194</v>
      </c>
      <c r="C249" s="53" t="s">
        <v>195</v>
      </c>
      <c r="D249" s="17">
        <f>1933+160+450</f>
        <v>2543</v>
      </c>
      <c r="E249" s="95"/>
    </row>
    <row r="250" spans="1:5" x14ac:dyDescent="0.25">
      <c r="A250" s="18"/>
      <c r="B250" s="33" t="s">
        <v>196</v>
      </c>
      <c r="C250" s="54" t="s">
        <v>197</v>
      </c>
      <c r="D250" s="17">
        <f>1933+160+450</f>
        <v>2543</v>
      </c>
      <c r="E250" s="95"/>
    </row>
    <row r="251" spans="1:5" x14ac:dyDescent="0.25">
      <c r="A251" s="18" t="s">
        <v>30</v>
      </c>
      <c r="B251" s="11" t="s">
        <v>93</v>
      </c>
      <c r="C251" s="5" t="s">
        <v>230</v>
      </c>
      <c r="D251" s="17"/>
      <c r="E251" s="95"/>
    </row>
    <row r="252" spans="1:5" x14ac:dyDescent="0.25">
      <c r="A252" s="18"/>
      <c r="B252" s="12" t="s">
        <v>194</v>
      </c>
      <c r="C252" s="53" t="s">
        <v>195</v>
      </c>
      <c r="D252" s="17">
        <f>194+111-35</f>
        <v>270</v>
      </c>
      <c r="E252" s="95"/>
    </row>
    <row r="253" spans="1:5" x14ac:dyDescent="0.25">
      <c r="A253" s="18"/>
      <c r="B253" s="33" t="s">
        <v>196</v>
      </c>
      <c r="C253" s="54" t="s">
        <v>197</v>
      </c>
      <c r="D253" s="17">
        <f>194+111-35</f>
        <v>270</v>
      </c>
      <c r="E253" s="95"/>
    </row>
    <row r="254" spans="1:5" x14ac:dyDescent="0.25">
      <c r="A254" s="28" t="s">
        <v>30</v>
      </c>
      <c r="B254" s="44" t="s">
        <v>94</v>
      </c>
      <c r="C254" s="6" t="s">
        <v>95</v>
      </c>
      <c r="D254" s="20"/>
      <c r="E254" s="95"/>
    </row>
    <row r="255" spans="1:5" x14ac:dyDescent="0.25">
      <c r="A255" s="28"/>
      <c r="B255" s="15" t="s">
        <v>194</v>
      </c>
      <c r="C255" s="25" t="s">
        <v>195</v>
      </c>
      <c r="D255" s="20">
        <f>1549+127</f>
        <v>1676</v>
      </c>
      <c r="E255" s="95"/>
    </row>
    <row r="256" spans="1:5" x14ac:dyDescent="0.25">
      <c r="A256" s="28"/>
      <c r="B256" s="15" t="s">
        <v>196</v>
      </c>
      <c r="C256" s="25" t="s">
        <v>197</v>
      </c>
      <c r="D256" s="20">
        <f>1549+127</f>
        <v>1676</v>
      </c>
      <c r="E256" s="95"/>
    </row>
    <row r="257" spans="1:5" x14ac:dyDescent="0.25">
      <c r="A257" s="28" t="s">
        <v>30</v>
      </c>
      <c r="B257" s="44" t="s">
        <v>96</v>
      </c>
      <c r="C257" s="6" t="s">
        <v>231</v>
      </c>
      <c r="D257" s="20"/>
      <c r="E257" s="95"/>
    </row>
    <row r="258" spans="1:5" x14ac:dyDescent="0.25">
      <c r="A258" s="28"/>
      <c r="B258" s="15" t="s">
        <v>194</v>
      </c>
      <c r="C258" s="25" t="s">
        <v>195</v>
      </c>
      <c r="D258" s="20">
        <f>239-8+4</f>
        <v>235</v>
      </c>
      <c r="E258" s="95"/>
    </row>
    <row r="259" spans="1:5" x14ac:dyDescent="0.25">
      <c r="A259" s="28"/>
      <c r="B259" s="15" t="s">
        <v>196</v>
      </c>
      <c r="C259" s="25" t="s">
        <v>197</v>
      </c>
      <c r="D259" s="20">
        <f>239-8+4</f>
        <v>235</v>
      </c>
      <c r="E259" s="95"/>
    </row>
    <row r="260" spans="1:5" x14ac:dyDescent="0.25">
      <c r="A260" s="28" t="s">
        <v>30</v>
      </c>
      <c r="B260" s="44" t="s">
        <v>97</v>
      </c>
      <c r="C260" s="6" t="s">
        <v>232</v>
      </c>
      <c r="D260" s="20"/>
      <c r="E260" s="95"/>
    </row>
    <row r="261" spans="1:5" x14ac:dyDescent="0.25">
      <c r="A261" s="28"/>
      <c r="B261" s="15" t="s">
        <v>194</v>
      </c>
      <c r="C261" s="25" t="s">
        <v>195</v>
      </c>
      <c r="D261" s="20">
        <f>2665-862+312</f>
        <v>2115</v>
      </c>
      <c r="E261" s="95"/>
    </row>
    <row r="262" spans="1:5" x14ac:dyDescent="0.25">
      <c r="A262" s="28"/>
      <c r="B262" s="15" t="s">
        <v>196</v>
      </c>
      <c r="C262" s="25" t="s">
        <v>197</v>
      </c>
      <c r="D262" s="20">
        <f>2665-862+312</f>
        <v>2115</v>
      </c>
      <c r="E262" s="95"/>
    </row>
    <row r="263" spans="1:5" x14ac:dyDescent="0.25">
      <c r="A263" s="28" t="s">
        <v>30</v>
      </c>
      <c r="B263" s="44" t="s">
        <v>98</v>
      </c>
      <c r="C263" s="6" t="s">
        <v>233</v>
      </c>
      <c r="D263" s="20"/>
      <c r="E263" s="95"/>
    </row>
    <row r="264" spans="1:5" x14ac:dyDescent="0.25">
      <c r="A264" s="28"/>
      <c r="B264" s="15" t="s">
        <v>194</v>
      </c>
      <c r="C264" s="25" t="s">
        <v>195</v>
      </c>
      <c r="D264" s="20">
        <f>1610+341</f>
        <v>1951</v>
      </c>
      <c r="E264" s="95"/>
    </row>
    <row r="265" spans="1:5" x14ac:dyDescent="0.25">
      <c r="A265" s="28"/>
      <c r="B265" s="15" t="s">
        <v>196</v>
      </c>
      <c r="C265" s="25" t="s">
        <v>197</v>
      </c>
      <c r="D265" s="20">
        <f>1610+341</f>
        <v>1951</v>
      </c>
      <c r="E265" s="95"/>
    </row>
    <row r="266" spans="1:5" x14ac:dyDescent="0.25">
      <c r="A266" s="28" t="s">
        <v>30</v>
      </c>
      <c r="B266" s="44" t="s">
        <v>99</v>
      </c>
      <c r="C266" s="6" t="s">
        <v>234</v>
      </c>
      <c r="D266" s="20"/>
      <c r="E266" s="95"/>
    </row>
    <row r="267" spans="1:5" x14ac:dyDescent="0.25">
      <c r="A267" s="28"/>
      <c r="B267" s="15" t="s">
        <v>194</v>
      </c>
      <c r="C267" s="25" t="s">
        <v>195</v>
      </c>
      <c r="D267" s="20">
        <f>1634+115+242</f>
        <v>1991</v>
      </c>
      <c r="E267" s="95"/>
    </row>
    <row r="268" spans="1:5" x14ac:dyDescent="0.25">
      <c r="A268" s="28"/>
      <c r="B268" s="15" t="s">
        <v>196</v>
      </c>
      <c r="C268" s="25" t="s">
        <v>197</v>
      </c>
      <c r="D268" s="20">
        <f>1634+115+242</f>
        <v>1991</v>
      </c>
      <c r="E268" s="95"/>
    </row>
    <row r="269" spans="1:5" x14ac:dyDescent="0.25">
      <c r="A269" s="28" t="s">
        <v>30</v>
      </c>
      <c r="B269" s="44" t="s">
        <v>100</v>
      </c>
      <c r="C269" s="6" t="s">
        <v>235</v>
      </c>
      <c r="D269" s="20"/>
      <c r="E269" s="95"/>
    </row>
    <row r="270" spans="1:5" x14ac:dyDescent="0.25">
      <c r="A270" s="28"/>
      <c r="B270" s="15" t="s">
        <v>194</v>
      </c>
      <c r="C270" s="25" t="s">
        <v>195</v>
      </c>
      <c r="D270" s="20">
        <f>3298+7+100</f>
        <v>3405</v>
      </c>
      <c r="E270" s="95"/>
    </row>
    <row r="271" spans="1:5" x14ac:dyDescent="0.25">
      <c r="A271" s="28"/>
      <c r="B271" s="15" t="s">
        <v>196</v>
      </c>
      <c r="C271" s="25" t="s">
        <v>197</v>
      </c>
      <c r="D271" s="20">
        <f>3298+7+100</f>
        <v>3405</v>
      </c>
      <c r="E271" s="95"/>
    </row>
    <row r="272" spans="1:5" x14ac:dyDescent="0.25">
      <c r="A272" s="28" t="s">
        <v>30</v>
      </c>
      <c r="B272" s="44" t="s">
        <v>101</v>
      </c>
      <c r="C272" s="6" t="s">
        <v>236</v>
      </c>
      <c r="D272" s="20"/>
      <c r="E272" s="95"/>
    </row>
    <row r="273" spans="1:5" x14ac:dyDescent="0.25">
      <c r="A273" s="28"/>
      <c r="B273" s="15" t="s">
        <v>194</v>
      </c>
      <c r="C273" s="25" t="s">
        <v>195</v>
      </c>
      <c r="D273" s="20">
        <f>2663-140-1099</f>
        <v>1424</v>
      </c>
      <c r="E273" s="95"/>
    </row>
    <row r="274" spans="1:5" x14ac:dyDescent="0.25">
      <c r="A274" s="28"/>
      <c r="B274" s="15" t="s">
        <v>196</v>
      </c>
      <c r="C274" s="25" t="s">
        <v>197</v>
      </c>
      <c r="D274" s="20">
        <f>2663-140-1099</f>
        <v>1424</v>
      </c>
      <c r="E274" s="95"/>
    </row>
    <row r="275" spans="1:5" x14ac:dyDescent="0.25">
      <c r="A275" s="28" t="s">
        <v>30</v>
      </c>
      <c r="B275" s="44" t="s">
        <v>102</v>
      </c>
      <c r="C275" s="6" t="s">
        <v>237</v>
      </c>
      <c r="D275" s="20"/>
      <c r="E275" s="95"/>
    </row>
    <row r="276" spans="1:5" x14ac:dyDescent="0.25">
      <c r="A276" s="28"/>
      <c r="B276" s="15" t="s">
        <v>194</v>
      </c>
      <c r="C276" s="25" t="s">
        <v>195</v>
      </c>
      <c r="D276" s="20">
        <f>1588-990</f>
        <v>598</v>
      </c>
      <c r="E276" s="95"/>
    </row>
    <row r="277" spans="1:5" x14ac:dyDescent="0.25">
      <c r="A277" s="28"/>
      <c r="B277" s="15" t="s">
        <v>196</v>
      </c>
      <c r="C277" s="25" t="s">
        <v>197</v>
      </c>
      <c r="D277" s="20">
        <f>1588-990</f>
        <v>598</v>
      </c>
      <c r="E277" s="95"/>
    </row>
    <row r="278" spans="1:5" hidden="1" x14ac:dyDescent="0.25">
      <c r="A278" s="15" t="s">
        <v>30</v>
      </c>
      <c r="B278" s="43" t="s">
        <v>103</v>
      </c>
      <c r="C278" s="2" t="s">
        <v>238</v>
      </c>
      <c r="D278" s="16"/>
      <c r="E278" s="95"/>
    </row>
    <row r="279" spans="1:5" hidden="1" x14ac:dyDescent="0.25">
      <c r="A279" s="15"/>
      <c r="B279" s="15" t="s">
        <v>194</v>
      </c>
      <c r="C279" s="25" t="s">
        <v>195</v>
      </c>
      <c r="D279" s="20">
        <f t="shared" ref="D279:D280" si="15">D282</f>
        <v>0</v>
      </c>
      <c r="E279" s="95"/>
    </row>
    <row r="280" spans="1:5" hidden="1" x14ac:dyDescent="0.25">
      <c r="A280" s="15"/>
      <c r="B280" s="15" t="s">
        <v>196</v>
      </c>
      <c r="C280" s="25" t="s">
        <v>197</v>
      </c>
      <c r="D280" s="20">
        <f t="shared" si="15"/>
        <v>0</v>
      </c>
      <c r="E280" s="95"/>
    </row>
    <row r="281" spans="1:5" hidden="1" x14ac:dyDescent="0.25">
      <c r="A281" s="18" t="s">
        <v>30</v>
      </c>
      <c r="B281" s="11" t="s">
        <v>104</v>
      </c>
      <c r="C281" s="5" t="s">
        <v>239</v>
      </c>
      <c r="D281" s="17"/>
      <c r="E281" s="95"/>
    </row>
    <row r="282" spans="1:5" hidden="1" x14ac:dyDescent="0.25">
      <c r="A282" s="18"/>
      <c r="B282" s="12" t="s">
        <v>194</v>
      </c>
      <c r="C282" s="53" t="s">
        <v>195</v>
      </c>
      <c r="D282" s="17">
        <v>0</v>
      </c>
      <c r="E282" s="95"/>
    </row>
    <row r="283" spans="1:5" hidden="1" x14ac:dyDescent="0.25">
      <c r="A283" s="18"/>
      <c r="B283" s="33" t="s">
        <v>196</v>
      </c>
      <c r="C283" s="54" t="s">
        <v>197</v>
      </c>
      <c r="D283" s="29">
        <v>0</v>
      </c>
      <c r="E283" s="95"/>
    </row>
    <row r="284" spans="1:5" ht="25.5" x14ac:dyDescent="0.25">
      <c r="A284" s="28" t="s">
        <v>30</v>
      </c>
      <c r="B284" s="44" t="s">
        <v>105</v>
      </c>
      <c r="C284" s="6" t="s">
        <v>240</v>
      </c>
      <c r="D284" s="20"/>
      <c r="E284" s="95"/>
    </row>
    <row r="285" spans="1:5" x14ac:dyDescent="0.25">
      <c r="A285" s="28"/>
      <c r="B285" s="15" t="s">
        <v>194</v>
      </c>
      <c r="C285" s="25" t="s">
        <v>195</v>
      </c>
      <c r="D285" s="20">
        <f>1633+381-123</f>
        <v>1891</v>
      </c>
      <c r="E285" s="95"/>
    </row>
    <row r="286" spans="1:5" x14ac:dyDescent="0.25">
      <c r="A286" s="28"/>
      <c r="B286" s="15" t="s">
        <v>196</v>
      </c>
      <c r="C286" s="25" t="s">
        <v>197</v>
      </c>
      <c r="D286" s="20">
        <f>1633+381-123</f>
        <v>1891</v>
      </c>
      <c r="E286" s="95"/>
    </row>
    <row r="287" spans="1:5" x14ac:dyDescent="0.25">
      <c r="A287" s="15" t="s">
        <v>30</v>
      </c>
      <c r="B287" s="43" t="s">
        <v>106</v>
      </c>
      <c r="C287" s="2" t="s">
        <v>107</v>
      </c>
      <c r="D287" s="16"/>
      <c r="E287" s="95"/>
    </row>
    <row r="288" spans="1:5" x14ac:dyDescent="0.25">
      <c r="A288" s="15"/>
      <c r="B288" s="15" t="s">
        <v>194</v>
      </c>
      <c r="C288" s="25" t="s">
        <v>195</v>
      </c>
      <c r="D288" s="16">
        <f t="shared" ref="D288:D289" si="16">D291+D294+D297+D300+D303+D306</f>
        <v>186973</v>
      </c>
      <c r="E288" s="95"/>
    </row>
    <row r="289" spans="1:5" x14ac:dyDescent="0.25">
      <c r="A289" s="15"/>
      <c r="B289" s="15" t="s">
        <v>196</v>
      </c>
      <c r="C289" s="25" t="s">
        <v>197</v>
      </c>
      <c r="D289" s="16">
        <f t="shared" si="16"/>
        <v>186973</v>
      </c>
      <c r="E289" s="95"/>
    </row>
    <row r="290" spans="1:5" x14ac:dyDescent="0.25">
      <c r="A290" s="18" t="s">
        <v>30</v>
      </c>
      <c r="B290" s="11" t="s">
        <v>108</v>
      </c>
      <c r="C290" s="5" t="s">
        <v>241</v>
      </c>
      <c r="D290" s="17"/>
      <c r="E290" s="95"/>
    </row>
    <row r="291" spans="1:5" x14ac:dyDescent="0.25">
      <c r="A291" s="18"/>
      <c r="B291" s="12" t="s">
        <v>194</v>
      </c>
      <c r="C291" s="53" t="s">
        <v>195</v>
      </c>
      <c r="D291" s="17">
        <f>635+41+269</f>
        <v>945</v>
      </c>
      <c r="E291" s="95"/>
    </row>
    <row r="292" spans="1:5" x14ac:dyDescent="0.25">
      <c r="A292" s="18"/>
      <c r="B292" s="33" t="s">
        <v>196</v>
      </c>
      <c r="C292" s="54" t="s">
        <v>197</v>
      </c>
      <c r="D292" s="29">
        <f>635+41+269</f>
        <v>945</v>
      </c>
      <c r="E292" s="95"/>
    </row>
    <row r="293" spans="1:5" x14ac:dyDescent="0.25">
      <c r="A293" s="18" t="s">
        <v>30</v>
      </c>
      <c r="B293" s="11" t="s">
        <v>109</v>
      </c>
      <c r="C293" s="5" t="s">
        <v>242</v>
      </c>
      <c r="D293" s="17"/>
      <c r="E293" s="95"/>
    </row>
    <row r="294" spans="1:5" x14ac:dyDescent="0.25">
      <c r="A294" s="18"/>
      <c r="B294" s="12" t="s">
        <v>194</v>
      </c>
      <c r="C294" s="53" t="s">
        <v>195</v>
      </c>
      <c r="D294" s="17">
        <f>637+25+210</f>
        <v>872</v>
      </c>
      <c r="E294" s="95"/>
    </row>
    <row r="295" spans="1:5" x14ac:dyDescent="0.25">
      <c r="A295" s="18"/>
      <c r="B295" s="33" t="s">
        <v>196</v>
      </c>
      <c r="C295" s="54" t="s">
        <v>197</v>
      </c>
      <c r="D295" s="29">
        <f>637+25+210</f>
        <v>872</v>
      </c>
      <c r="E295" s="95"/>
    </row>
    <row r="296" spans="1:5" x14ac:dyDescent="0.25">
      <c r="A296" s="18" t="s">
        <v>30</v>
      </c>
      <c r="B296" s="11" t="s">
        <v>110</v>
      </c>
      <c r="C296" s="5" t="s">
        <v>243</v>
      </c>
      <c r="D296" s="17"/>
      <c r="E296" s="95"/>
    </row>
    <row r="297" spans="1:5" x14ac:dyDescent="0.25">
      <c r="A297" s="18"/>
      <c r="B297" s="12" t="s">
        <v>194</v>
      </c>
      <c r="C297" s="53" t="s">
        <v>195</v>
      </c>
      <c r="D297" s="17">
        <f>2024+210+74</f>
        <v>2308</v>
      </c>
      <c r="E297" s="95"/>
    </row>
    <row r="298" spans="1:5" x14ac:dyDescent="0.25">
      <c r="A298" s="18"/>
      <c r="B298" s="33" t="s">
        <v>196</v>
      </c>
      <c r="C298" s="54" t="s">
        <v>197</v>
      </c>
      <c r="D298" s="29">
        <f>2024+210+74</f>
        <v>2308</v>
      </c>
      <c r="E298" s="95"/>
    </row>
    <row r="299" spans="1:5" x14ac:dyDescent="0.25">
      <c r="A299" s="18" t="s">
        <v>30</v>
      </c>
      <c r="B299" s="11" t="s">
        <v>111</v>
      </c>
      <c r="C299" s="5" t="s">
        <v>112</v>
      </c>
      <c r="D299" s="17"/>
      <c r="E299" s="95"/>
    </row>
    <row r="300" spans="1:5" x14ac:dyDescent="0.25">
      <c r="A300" s="18"/>
      <c r="B300" s="12" t="s">
        <v>194</v>
      </c>
      <c r="C300" s="53" t="s">
        <v>195</v>
      </c>
      <c r="D300" s="17">
        <f>3441+13-204+59+52</f>
        <v>3361</v>
      </c>
      <c r="E300" s="95"/>
    </row>
    <row r="301" spans="1:5" x14ac:dyDescent="0.25">
      <c r="A301" s="18"/>
      <c r="B301" s="33" t="s">
        <v>196</v>
      </c>
      <c r="C301" s="54" t="s">
        <v>197</v>
      </c>
      <c r="D301" s="29">
        <f>3441+13-204+59+52</f>
        <v>3361</v>
      </c>
      <c r="E301" s="95"/>
    </row>
    <row r="302" spans="1:5" x14ac:dyDescent="0.25">
      <c r="A302" s="18" t="s">
        <v>30</v>
      </c>
      <c r="B302" s="11" t="s">
        <v>113</v>
      </c>
      <c r="C302" s="5" t="s">
        <v>244</v>
      </c>
      <c r="D302" s="17"/>
      <c r="E302" s="95"/>
    </row>
    <row r="303" spans="1:5" x14ac:dyDescent="0.25">
      <c r="A303" s="18"/>
      <c r="B303" s="12" t="s">
        <v>194</v>
      </c>
      <c r="C303" s="53" t="s">
        <v>195</v>
      </c>
      <c r="D303" s="17">
        <f>31-1-23</f>
        <v>7</v>
      </c>
      <c r="E303" s="95"/>
    </row>
    <row r="304" spans="1:5" x14ac:dyDescent="0.25">
      <c r="A304" s="18"/>
      <c r="B304" s="33" t="s">
        <v>196</v>
      </c>
      <c r="C304" s="54" t="s">
        <v>197</v>
      </c>
      <c r="D304" s="29">
        <f>31-1-23</f>
        <v>7</v>
      </c>
      <c r="E304" s="95"/>
    </row>
    <row r="305" spans="1:6" x14ac:dyDescent="0.25">
      <c r="A305" s="18" t="s">
        <v>30</v>
      </c>
      <c r="B305" s="11" t="s">
        <v>114</v>
      </c>
      <c r="C305" s="5" t="s">
        <v>186</v>
      </c>
      <c r="D305" s="17"/>
      <c r="E305" s="95"/>
    </row>
    <row r="306" spans="1:6" x14ac:dyDescent="0.25">
      <c r="A306" s="18"/>
      <c r="B306" s="12" t="s">
        <v>194</v>
      </c>
      <c r="C306" s="53" t="s">
        <v>195</v>
      </c>
      <c r="D306" s="17">
        <f>151497+1520-188+24218+3384-52-525-374</f>
        <v>179480</v>
      </c>
      <c r="E306" s="95"/>
    </row>
    <row r="307" spans="1:6" x14ac:dyDescent="0.25">
      <c r="A307" s="18"/>
      <c r="B307" s="33" t="s">
        <v>196</v>
      </c>
      <c r="C307" s="54" t="s">
        <v>197</v>
      </c>
      <c r="D307" s="17">
        <f>151497+1520-188+24218+3384-52-525-374</f>
        <v>179480</v>
      </c>
      <c r="E307" s="95"/>
    </row>
    <row r="308" spans="1:6" hidden="1" x14ac:dyDescent="0.25">
      <c r="A308" s="15" t="s">
        <v>30</v>
      </c>
      <c r="B308" s="15">
        <v>57</v>
      </c>
      <c r="C308" s="2" t="s">
        <v>271</v>
      </c>
      <c r="D308" s="16"/>
    </row>
    <row r="309" spans="1:6" hidden="1" x14ac:dyDescent="0.25">
      <c r="A309" s="15"/>
      <c r="B309" s="15" t="s">
        <v>194</v>
      </c>
      <c r="C309" s="25" t="s">
        <v>195</v>
      </c>
      <c r="D309" s="16">
        <f t="shared" ref="D309:D310" si="17">D312</f>
        <v>0</v>
      </c>
    </row>
    <row r="310" spans="1:6" hidden="1" x14ac:dyDescent="0.25">
      <c r="A310" s="15"/>
      <c r="B310" s="15" t="s">
        <v>196</v>
      </c>
      <c r="C310" s="25" t="s">
        <v>197</v>
      </c>
      <c r="D310" s="16">
        <f t="shared" si="17"/>
        <v>0</v>
      </c>
    </row>
    <row r="311" spans="1:6" hidden="1" x14ac:dyDescent="0.25">
      <c r="A311" s="15" t="s">
        <v>30</v>
      </c>
      <c r="B311" s="15" t="s">
        <v>276</v>
      </c>
      <c r="C311" s="2" t="s">
        <v>272</v>
      </c>
      <c r="D311" s="16"/>
    </row>
    <row r="312" spans="1:6" hidden="1" x14ac:dyDescent="0.25">
      <c r="A312" s="15"/>
      <c r="B312" s="15" t="s">
        <v>194</v>
      </c>
      <c r="C312" s="25" t="s">
        <v>195</v>
      </c>
      <c r="D312" s="16">
        <f t="shared" ref="D312:D313" si="18">D315</f>
        <v>0</v>
      </c>
    </row>
    <row r="313" spans="1:6" hidden="1" x14ac:dyDescent="0.25">
      <c r="A313" s="15"/>
      <c r="B313" s="15" t="s">
        <v>196</v>
      </c>
      <c r="C313" s="25" t="s">
        <v>197</v>
      </c>
      <c r="D313" s="16">
        <f t="shared" si="18"/>
        <v>0</v>
      </c>
    </row>
    <row r="314" spans="1:6" hidden="1" x14ac:dyDescent="0.25">
      <c r="A314" s="18" t="s">
        <v>30</v>
      </c>
      <c r="B314" s="18" t="s">
        <v>277</v>
      </c>
      <c r="C314" s="5" t="s">
        <v>273</v>
      </c>
      <c r="D314" s="17"/>
    </row>
    <row r="315" spans="1:6" hidden="1" x14ac:dyDescent="0.25">
      <c r="A315" s="18"/>
      <c r="B315" s="12" t="s">
        <v>194</v>
      </c>
      <c r="C315" s="53" t="s">
        <v>195</v>
      </c>
      <c r="D315" s="17"/>
    </row>
    <row r="316" spans="1:6" hidden="1" x14ac:dyDescent="0.25">
      <c r="A316" s="18"/>
      <c r="B316" s="33" t="s">
        <v>196</v>
      </c>
      <c r="C316" s="54" t="s">
        <v>197</v>
      </c>
      <c r="D316" s="17"/>
    </row>
    <row r="317" spans="1:6" ht="38.25" x14ac:dyDescent="0.25">
      <c r="A317" s="26" t="s">
        <v>30</v>
      </c>
      <c r="B317" s="26" t="s">
        <v>35</v>
      </c>
      <c r="C317" s="40" t="s">
        <v>200</v>
      </c>
      <c r="D317" s="30"/>
    </row>
    <row r="318" spans="1:6" x14ac:dyDescent="0.25">
      <c r="A318" s="26"/>
      <c r="B318" s="15" t="s">
        <v>194</v>
      </c>
      <c r="C318" s="25" t="s">
        <v>195</v>
      </c>
      <c r="D318" s="30">
        <f>D321+D342+D363+D333+D351</f>
        <v>5478</v>
      </c>
      <c r="F318" s="97">
        <f>D318-D319</f>
        <v>-1498</v>
      </c>
    </row>
    <row r="319" spans="1:6" x14ac:dyDescent="0.25">
      <c r="A319" s="26"/>
      <c r="B319" s="15" t="s">
        <v>196</v>
      </c>
      <c r="C319" s="25" t="s">
        <v>197</v>
      </c>
      <c r="D319" s="30">
        <f>D322+D343+D364+D334+D352</f>
        <v>6976</v>
      </c>
    </row>
    <row r="320" spans="1:6" ht="23.25" customHeight="1" x14ac:dyDescent="0.25">
      <c r="A320" s="31" t="s">
        <v>30</v>
      </c>
      <c r="B320" s="31" t="s">
        <v>117</v>
      </c>
      <c r="C320" s="64" t="s">
        <v>247</v>
      </c>
      <c r="D320" s="65"/>
    </row>
    <row r="321" spans="1:4" x14ac:dyDescent="0.25">
      <c r="A321" s="31"/>
      <c r="B321" s="15" t="s">
        <v>194</v>
      </c>
      <c r="C321" s="25" t="s">
        <v>195</v>
      </c>
      <c r="D321" s="65">
        <f t="shared" ref="D321:D322" si="19">D324+D327+D330</f>
        <v>587</v>
      </c>
    </row>
    <row r="322" spans="1:4" x14ac:dyDescent="0.25">
      <c r="A322" s="31"/>
      <c r="B322" s="15" t="s">
        <v>196</v>
      </c>
      <c r="C322" s="25" t="s">
        <v>197</v>
      </c>
      <c r="D322" s="65">
        <f t="shared" si="19"/>
        <v>1828</v>
      </c>
    </row>
    <row r="323" spans="1:4" x14ac:dyDescent="0.25">
      <c r="A323" s="66" t="s">
        <v>30</v>
      </c>
      <c r="B323" s="66" t="s">
        <v>118</v>
      </c>
      <c r="C323" s="61" t="s">
        <v>245</v>
      </c>
      <c r="D323" s="62"/>
    </row>
    <row r="324" spans="1:4" x14ac:dyDescent="0.25">
      <c r="A324" s="66"/>
      <c r="B324" s="12" t="s">
        <v>194</v>
      </c>
      <c r="C324" s="53" t="s">
        <v>195</v>
      </c>
      <c r="D324" s="17">
        <f>612-606-3</f>
        <v>3</v>
      </c>
    </row>
    <row r="325" spans="1:4" x14ac:dyDescent="0.25">
      <c r="A325" s="66"/>
      <c r="B325" s="33" t="s">
        <v>196</v>
      </c>
      <c r="C325" s="54" t="s">
        <v>197</v>
      </c>
      <c r="D325" s="29">
        <f>771-607-3</f>
        <v>161</v>
      </c>
    </row>
    <row r="326" spans="1:4" x14ac:dyDescent="0.25">
      <c r="A326" s="12" t="s">
        <v>30</v>
      </c>
      <c r="B326" s="12" t="s">
        <v>119</v>
      </c>
      <c r="C326" s="67" t="s">
        <v>248</v>
      </c>
      <c r="D326" s="68"/>
    </row>
    <row r="327" spans="1:4" x14ac:dyDescent="0.25">
      <c r="A327" s="12"/>
      <c r="B327" s="12" t="s">
        <v>194</v>
      </c>
      <c r="C327" s="53" t="s">
        <v>195</v>
      </c>
      <c r="D327" s="17">
        <f>127+502-50</f>
        <v>579</v>
      </c>
    </row>
    <row r="328" spans="1:4" x14ac:dyDescent="0.25">
      <c r="A328" s="12"/>
      <c r="B328" s="33" t="s">
        <v>196</v>
      </c>
      <c r="C328" s="54" t="s">
        <v>197</v>
      </c>
      <c r="D328" s="29">
        <f>1018+497-50</f>
        <v>1465</v>
      </c>
    </row>
    <row r="329" spans="1:4" x14ac:dyDescent="0.25">
      <c r="A329" s="12" t="s">
        <v>30</v>
      </c>
      <c r="B329" s="12" t="s">
        <v>120</v>
      </c>
      <c r="C329" s="61" t="s">
        <v>116</v>
      </c>
      <c r="D329" s="62"/>
    </row>
    <row r="330" spans="1:4" x14ac:dyDescent="0.25">
      <c r="A330" s="12"/>
      <c r="B330" s="12" t="s">
        <v>194</v>
      </c>
      <c r="C330" s="53" t="s">
        <v>195</v>
      </c>
      <c r="D330" s="17">
        <f>13+64-72</f>
        <v>5</v>
      </c>
    </row>
    <row r="331" spans="1:4" x14ac:dyDescent="0.25">
      <c r="A331" s="12"/>
      <c r="B331" s="33" t="s">
        <v>196</v>
      </c>
      <c r="C331" s="54" t="s">
        <v>197</v>
      </c>
      <c r="D331" s="29">
        <f>211+63-72</f>
        <v>202</v>
      </c>
    </row>
    <row r="332" spans="1:4" x14ac:dyDescent="0.25">
      <c r="A332" s="31" t="s">
        <v>30</v>
      </c>
      <c r="B332" s="31" t="s">
        <v>281</v>
      </c>
      <c r="C332" s="64" t="s">
        <v>279</v>
      </c>
      <c r="D332" s="65"/>
    </row>
    <row r="333" spans="1:4" x14ac:dyDescent="0.25">
      <c r="A333" s="31"/>
      <c r="B333" s="15" t="s">
        <v>194</v>
      </c>
      <c r="C333" s="25" t="s">
        <v>195</v>
      </c>
      <c r="D333" s="65">
        <f t="shared" ref="D333:D334" si="20">D336+D339</f>
        <v>4041</v>
      </c>
    </row>
    <row r="334" spans="1:4" x14ac:dyDescent="0.25">
      <c r="A334" s="31"/>
      <c r="B334" s="15" t="s">
        <v>196</v>
      </c>
      <c r="C334" s="25" t="s">
        <v>197</v>
      </c>
      <c r="D334" s="65">
        <f t="shared" si="20"/>
        <v>4041</v>
      </c>
    </row>
    <row r="335" spans="1:4" hidden="1" x14ac:dyDescent="0.25">
      <c r="A335" s="66" t="s">
        <v>30</v>
      </c>
      <c r="B335" s="66" t="s">
        <v>282</v>
      </c>
      <c r="C335" s="5" t="s">
        <v>245</v>
      </c>
      <c r="D335" s="17"/>
    </row>
    <row r="336" spans="1:4" hidden="1" x14ac:dyDescent="0.25">
      <c r="A336" s="66"/>
      <c r="B336" s="12" t="s">
        <v>194</v>
      </c>
      <c r="C336" s="53" t="s">
        <v>195</v>
      </c>
      <c r="D336" s="17"/>
    </row>
    <row r="337" spans="1:4" hidden="1" x14ac:dyDescent="0.25">
      <c r="A337" s="66"/>
      <c r="B337" s="33" t="s">
        <v>196</v>
      </c>
      <c r="C337" s="54" t="s">
        <v>197</v>
      </c>
      <c r="D337" s="29"/>
    </row>
    <row r="338" spans="1:4" x14ac:dyDescent="0.25">
      <c r="A338" s="12" t="s">
        <v>30</v>
      </c>
      <c r="B338" s="12" t="s">
        <v>283</v>
      </c>
      <c r="C338" s="69" t="s">
        <v>248</v>
      </c>
      <c r="D338" s="70"/>
    </row>
    <row r="339" spans="1:4" x14ac:dyDescent="0.25">
      <c r="A339" s="12"/>
      <c r="B339" s="12" t="s">
        <v>194</v>
      </c>
      <c r="C339" s="53" t="s">
        <v>195</v>
      </c>
      <c r="D339" s="17">
        <f>7974-210-3723</f>
        <v>4041</v>
      </c>
    </row>
    <row r="340" spans="1:4" x14ac:dyDescent="0.25">
      <c r="A340" s="12"/>
      <c r="B340" s="33" t="s">
        <v>196</v>
      </c>
      <c r="C340" s="54" t="s">
        <v>197</v>
      </c>
      <c r="D340" s="17">
        <f>7974-210-3723</f>
        <v>4041</v>
      </c>
    </row>
    <row r="341" spans="1:4" ht="17.25" customHeight="1" x14ac:dyDescent="0.25">
      <c r="A341" s="31" t="s">
        <v>30</v>
      </c>
      <c r="B341" s="31" t="s">
        <v>121</v>
      </c>
      <c r="C341" s="64" t="s">
        <v>122</v>
      </c>
      <c r="D341" s="65"/>
    </row>
    <row r="342" spans="1:4" x14ac:dyDescent="0.25">
      <c r="A342" s="31"/>
      <c r="B342" s="15" t="s">
        <v>194</v>
      </c>
      <c r="C342" s="25" t="s">
        <v>195</v>
      </c>
      <c r="D342" s="65">
        <f t="shared" ref="D342:D343" si="21">D345+D348</f>
        <v>250</v>
      </c>
    </row>
    <row r="343" spans="1:4" x14ac:dyDescent="0.25">
      <c r="A343" s="31"/>
      <c r="B343" s="15" t="s">
        <v>196</v>
      </c>
      <c r="C343" s="25" t="s">
        <v>197</v>
      </c>
      <c r="D343" s="65">
        <f t="shared" si="21"/>
        <v>507</v>
      </c>
    </row>
    <row r="344" spans="1:4" x14ac:dyDescent="0.25">
      <c r="A344" s="66" t="s">
        <v>30</v>
      </c>
      <c r="B344" s="66" t="s">
        <v>123</v>
      </c>
      <c r="C344" s="5" t="s">
        <v>245</v>
      </c>
      <c r="D344" s="17"/>
    </row>
    <row r="345" spans="1:4" x14ac:dyDescent="0.25">
      <c r="A345" s="66"/>
      <c r="B345" s="12" t="s">
        <v>194</v>
      </c>
      <c r="C345" s="53" t="s">
        <v>195</v>
      </c>
      <c r="D345" s="17">
        <f>0+38</f>
        <v>38</v>
      </c>
    </row>
    <row r="346" spans="1:4" x14ac:dyDescent="0.25">
      <c r="A346" s="66"/>
      <c r="B346" s="33" t="s">
        <v>196</v>
      </c>
      <c r="C346" s="54" t="s">
        <v>197</v>
      </c>
      <c r="D346" s="29">
        <f>212-174</f>
        <v>38</v>
      </c>
    </row>
    <row r="347" spans="1:4" x14ac:dyDescent="0.25">
      <c r="A347" s="12" t="s">
        <v>30</v>
      </c>
      <c r="B347" s="12" t="s">
        <v>124</v>
      </c>
      <c r="C347" s="69" t="s">
        <v>248</v>
      </c>
      <c r="D347" s="70"/>
    </row>
    <row r="348" spans="1:4" x14ac:dyDescent="0.25">
      <c r="A348" s="12"/>
      <c r="B348" s="12" t="s">
        <v>194</v>
      </c>
      <c r="C348" s="53" t="s">
        <v>195</v>
      </c>
      <c r="D348" s="17">
        <f>0+212</f>
        <v>212</v>
      </c>
    </row>
    <row r="349" spans="1:4" x14ac:dyDescent="0.25">
      <c r="A349" s="12"/>
      <c r="B349" s="33" t="s">
        <v>196</v>
      </c>
      <c r="C349" s="54" t="s">
        <v>197</v>
      </c>
      <c r="D349" s="29">
        <f>38+431</f>
        <v>469</v>
      </c>
    </row>
    <row r="350" spans="1:4" x14ac:dyDescent="0.25">
      <c r="A350" s="31" t="s">
        <v>30</v>
      </c>
      <c r="B350" s="31" t="s">
        <v>300</v>
      </c>
      <c r="C350" s="90" t="s">
        <v>299</v>
      </c>
      <c r="D350" s="65"/>
    </row>
    <row r="351" spans="1:4" x14ac:dyDescent="0.25">
      <c r="A351" s="31"/>
      <c r="B351" s="15" t="s">
        <v>194</v>
      </c>
      <c r="C351" s="25" t="s">
        <v>195</v>
      </c>
      <c r="D351" s="65">
        <f>D354+D357+D360</f>
        <v>287</v>
      </c>
    </row>
    <row r="352" spans="1:4" x14ac:dyDescent="0.25">
      <c r="A352" s="31"/>
      <c r="B352" s="15" t="s">
        <v>196</v>
      </c>
      <c r="C352" s="25" t="s">
        <v>197</v>
      </c>
      <c r="D352" s="65">
        <f>D355+D358+D361</f>
        <v>287</v>
      </c>
    </row>
    <row r="353" spans="1:4" x14ac:dyDescent="0.25">
      <c r="A353" s="66" t="s">
        <v>30</v>
      </c>
      <c r="B353" s="66" t="s">
        <v>301</v>
      </c>
      <c r="C353" s="5" t="s">
        <v>245</v>
      </c>
      <c r="D353" s="17"/>
    </row>
    <row r="354" spans="1:4" x14ac:dyDescent="0.25">
      <c r="A354" s="66"/>
      <c r="B354" s="12" t="s">
        <v>194</v>
      </c>
      <c r="C354" s="53" t="s">
        <v>195</v>
      </c>
      <c r="D354" s="17">
        <v>54</v>
      </c>
    </row>
    <row r="355" spans="1:4" x14ac:dyDescent="0.25">
      <c r="A355" s="66"/>
      <c r="B355" s="33" t="s">
        <v>196</v>
      </c>
      <c r="C355" s="54" t="s">
        <v>197</v>
      </c>
      <c r="D355" s="17">
        <v>54</v>
      </c>
    </row>
    <row r="356" spans="1:4" x14ac:dyDescent="0.25">
      <c r="A356" s="12" t="s">
        <v>30</v>
      </c>
      <c r="B356" s="12" t="s">
        <v>302</v>
      </c>
      <c r="C356" s="69" t="s">
        <v>248</v>
      </c>
      <c r="D356" s="70"/>
    </row>
    <row r="357" spans="1:4" x14ac:dyDescent="0.25">
      <c r="A357" s="12"/>
      <c r="B357" s="12" t="s">
        <v>194</v>
      </c>
      <c r="C357" s="53" t="s">
        <v>195</v>
      </c>
      <c r="D357" s="17">
        <v>195</v>
      </c>
    </row>
    <row r="358" spans="1:4" x14ac:dyDescent="0.25">
      <c r="A358" s="12"/>
      <c r="B358" s="33" t="s">
        <v>196</v>
      </c>
      <c r="C358" s="54" t="s">
        <v>197</v>
      </c>
      <c r="D358" s="17">
        <v>195</v>
      </c>
    </row>
    <row r="359" spans="1:4" x14ac:dyDescent="0.25">
      <c r="A359" s="12" t="s">
        <v>30</v>
      </c>
      <c r="B359" s="12" t="s">
        <v>313</v>
      </c>
      <c r="C359" s="61" t="s">
        <v>116</v>
      </c>
      <c r="D359" s="70"/>
    </row>
    <row r="360" spans="1:4" x14ac:dyDescent="0.25">
      <c r="A360" s="12"/>
      <c r="B360" s="12" t="s">
        <v>194</v>
      </c>
      <c r="C360" s="53" t="s">
        <v>195</v>
      </c>
      <c r="D360" s="17">
        <v>38</v>
      </c>
    </row>
    <row r="361" spans="1:4" x14ac:dyDescent="0.25">
      <c r="A361" s="12"/>
      <c r="B361" s="33" t="s">
        <v>196</v>
      </c>
      <c r="C361" s="54" t="s">
        <v>197</v>
      </c>
      <c r="D361" s="17">
        <v>38</v>
      </c>
    </row>
    <row r="362" spans="1:4" x14ac:dyDescent="0.25">
      <c r="A362" s="31" t="s">
        <v>30</v>
      </c>
      <c r="B362" s="31" t="s">
        <v>125</v>
      </c>
      <c r="C362" s="71" t="s">
        <v>191</v>
      </c>
      <c r="D362" s="72"/>
    </row>
    <row r="363" spans="1:4" x14ac:dyDescent="0.25">
      <c r="A363" s="31"/>
      <c r="B363" s="15" t="s">
        <v>194</v>
      </c>
      <c r="C363" s="25" t="s">
        <v>195</v>
      </c>
      <c r="D363" s="72">
        <f t="shared" ref="D363:D364" si="22">D369+D372+D366</f>
        <v>313</v>
      </c>
    </row>
    <row r="364" spans="1:4" x14ac:dyDescent="0.25">
      <c r="A364" s="31"/>
      <c r="B364" s="15" t="s">
        <v>196</v>
      </c>
      <c r="C364" s="25" t="s">
        <v>197</v>
      </c>
      <c r="D364" s="72">
        <f t="shared" si="22"/>
        <v>313</v>
      </c>
    </row>
    <row r="365" spans="1:4" x14ac:dyDescent="0.25">
      <c r="A365" s="12" t="s">
        <v>30</v>
      </c>
      <c r="B365" s="12" t="s">
        <v>280</v>
      </c>
      <c r="C365" s="5" t="s">
        <v>245</v>
      </c>
      <c r="D365" s="70"/>
    </row>
    <row r="366" spans="1:4" x14ac:dyDescent="0.25">
      <c r="A366" s="12"/>
      <c r="B366" s="12" t="s">
        <v>194</v>
      </c>
      <c r="C366" s="53" t="s">
        <v>195</v>
      </c>
      <c r="D366" s="17">
        <v>38</v>
      </c>
    </row>
    <row r="367" spans="1:4" x14ac:dyDescent="0.25">
      <c r="A367" s="12"/>
      <c r="B367" s="33" t="s">
        <v>196</v>
      </c>
      <c r="C367" s="54" t="s">
        <v>197</v>
      </c>
      <c r="D367" s="17">
        <v>38</v>
      </c>
    </row>
    <row r="368" spans="1:4" x14ac:dyDescent="0.25">
      <c r="A368" s="12" t="s">
        <v>30</v>
      </c>
      <c r="B368" s="12" t="s">
        <v>126</v>
      </c>
      <c r="C368" s="69" t="s">
        <v>248</v>
      </c>
      <c r="D368" s="70"/>
    </row>
    <row r="369" spans="1:6" x14ac:dyDescent="0.25">
      <c r="A369" s="12"/>
      <c r="B369" s="12" t="s">
        <v>194</v>
      </c>
      <c r="C369" s="53" t="s">
        <v>195</v>
      </c>
      <c r="D369" s="17">
        <v>275</v>
      </c>
    </row>
    <row r="370" spans="1:6" x14ac:dyDescent="0.25">
      <c r="A370" s="12"/>
      <c r="B370" s="33" t="s">
        <v>196</v>
      </c>
      <c r="C370" s="54" t="s">
        <v>197</v>
      </c>
      <c r="D370" s="17">
        <v>275</v>
      </c>
    </row>
    <row r="371" spans="1:6" hidden="1" x14ac:dyDescent="0.25">
      <c r="A371" s="12" t="s">
        <v>30</v>
      </c>
      <c r="B371" s="12" t="s">
        <v>127</v>
      </c>
      <c r="C371" s="5" t="s">
        <v>116</v>
      </c>
      <c r="D371" s="17"/>
    </row>
    <row r="372" spans="1:6" hidden="1" x14ac:dyDescent="0.25">
      <c r="A372" s="12"/>
      <c r="B372" s="12" t="s">
        <v>194</v>
      </c>
      <c r="C372" s="53" t="s">
        <v>195</v>
      </c>
      <c r="D372" s="17">
        <v>0</v>
      </c>
    </row>
    <row r="373" spans="1:6" hidden="1" x14ac:dyDescent="0.25">
      <c r="A373" s="12"/>
      <c r="B373" s="33" t="s">
        <v>196</v>
      </c>
      <c r="C373" s="54" t="s">
        <v>197</v>
      </c>
      <c r="D373" s="29">
        <v>0</v>
      </c>
    </row>
    <row r="374" spans="1:6" x14ac:dyDescent="0.25">
      <c r="A374" s="15" t="s">
        <v>30</v>
      </c>
      <c r="B374" s="46" t="s">
        <v>36</v>
      </c>
      <c r="C374" s="47" t="s">
        <v>107</v>
      </c>
      <c r="D374" s="32"/>
    </row>
    <row r="375" spans="1:6" x14ac:dyDescent="0.25">
      <c r="A375" s="15"/>
      <c r="B375" s="15" t="s">
        <v>194</v>
      </c>
      <c r="C375" s="25" t="s">
        <v>195</v>
      </c>
      <c r="D375" s="32">
        <f t="shared" ref="D375:D376" si="23">D378+D381</f>
        <v>8095</v>
      </c>
    </row>
    <row r="376" spans="1:6" x14ac:dyDescent="0.25">
      <c r="A376" s="15"/>
      <c r="B376" s="15" t="s">
        <v>196</v>
      </c>
      <c r="C376" s="25" t="s">
        <v>197</v>
      </c>
      <c r="D376" s="32">
        <f t="shared" si="23"/>
        <v>8095</v>
      </c>
    </row>
    <row r="377" spans="1:6" x14ac:dyDescent="0.25">
      <c r="A377" s="18" t="s">
        <v>30</v>
      </c>
      <c r="B377" s="12" t="s">
        <v>128</v>
      </c>
      <c r="C377" s="53" t="s">
        <v>249</v>
      </c>
      <c r="D377" s="17"/>
    </row>
    <row r="378" spans="1:6" x14ac:dyDescent="0.25">
      <c r="A378" s="18"/>
      <c r="B378" s="12" t="s">
        <v>194</v>
      </c>
      <c r="C378" s="53" t="s">
        <v>195</v>
      </c>
      <c r="D378" s="17">
        <v>50</v>
      </c>
    </row>
    <row r="379" spans="1:6" x14ac:dyDescent="0.25">
      <c r="A379" s="18"/>
      <c r="B379" s="33" t="s">
        <v>196</v>
      </c>
      <c r="C379" s="54" t="s">
        <v>197</v>
      </c>
      <c r="D379" s="29">
        <v>50</v>
      </c>
    </row>
    <row r="380" spans="1:6" x14ac:dyDescent="0.25">
      <c r="A380" s="18" t="s">
        <v>250</v>
      </c>
      <c r="B380" s="12" t="s">
        <v>160</v>
      </c>
      <c r="C380" s="53" t="s">
        <v>161</v>
      </c>
      <c r="D380" s="17"/>
    </row>
    <row r="381" spans="1:6" x14ac:dyDescent="0.25">
      <c r="A381" s="18"/>
      <c r="B381" s="12" t="s">
        <v>194</v>
      </c>
      <c r="C381" s="53" t="s">
        <v>195</v>
      </c>
      <c r="D381" s="17">
        <f>8139-94</f>
        <v>8045</v>
      </c>
    </row>
    <row r="382" spans="1:6" x14ac:dyDescent="0.25">
      <c r="A382" s="18"/>
      <c r="B382" s="33" t="s">
        <v>196</v>
      </c>
      <c r="C382" s="54" t="s">
        <v>197</v>
      </c>
      <c r="D382" s="29">
        <f>8139-94</f>
        <v>8045</v>
      </c>
    </row>
    <row r="383" spans="1:6" x14ac:dyDescent="0.25">
      <c r="A383" s="15" t="s">
        <v>30</v>
      </c>
      <c r="B383" s="15" t="s">
        <v>129</v>
      </c>
      <c r="C383" s="2" t="s">
        <v>130</v>
      </c>
      <c r="D383" s="16"/>
    </row>
    <row r="384" spans="1:6" x14ac:dyDescent="0.25">
      <c r="A384" s="15"/>
      <c r="B384" s="15" t="s">
        <v>194</v>
      </c>
      <c r="C384" s="2" t="s">
        <v>195</v>
      </c>
      <c r="D384" s="16">
        <f>D387</f>
        <v>119691</v>
      </c>
      <c r="F384" s="97">
        <f>D384-D385</f>
        <v>18794</v>
      </c>
    </row>
    <row r="385" spans="1:6" x14ac:dyDescent="0.25">
      <c r="A385" s="15"/>
      <c r="B385" s="15" t="s">
        <v>196</v>
      </c>
      <c r="C385" s="25" t="s">
        <v>197</v>
      </c>
      <c r="D385" s="16">
        <f t="shared" ref="D385" si="24">D388</f>
        <v>100897</v>
      </c>
      <c r="F385" s="97"/>
    </row>
    <row r="386" spans="1:6" x14ac:dyDescent="0.25">
      <c r="A386" s="15" t="s">
        <v>30</v>
      </c>
      <c r="B386" s="15" t="s">
        <v>131</v>
      </c>
      <c r="C386" s="2" t="s">
        <v>132</v>
      </c>
      <c r="D386" s="16"/>
    </row>
    <row r="387" spans="1:6" x14ac:dyDescent="0.25">
      <c r="A387" s="15"/>
      <c r="B387" s="15" t="s">
        <v>194</v>
      </c>
      <c r="C387" s="2" t="s">
        <v>195</v>
      </c>
      <c r="D387" s="16">
        <f t="shared" ref="D387:D388" si="25">D390+D405</f>
        <v>119691</v>
      </c>
    </row>
    <row r="388" spans="1:6" x14ac:dyDescent="0.25">
      <c r="A388" s="15"/>
      <c r="B388" s="15" t="s">
        <v>196</v>
      </c>
      <c r="C388" s="25" t="s">
        <v>197</v>
      </c>
      <c r="D388" s="16">
        <f t="shared" si="25"/>
        <v>100897</v>
      </c>
    </row>
    <row r="389" spans="1:6" x14ac:dyDescent="0.25">
      <c r="A389" s="15" t="s">
        <v>30</v>
      </c>
      <c r="B389" s="15" t="s">
        <v>133</v>
      </c>
      <c r="C389" s="2" t="s">
        <v>134</v>
      </c>
      <c r="D389" s="16"/>
    </row>
    <row r="390" spans="1:6" x14ac:dyDescent="0.25">
      <c r="A390" s="15"/>
      <c r="B390" s="15" t="s">
        <v>194</v>
      </c>
      <c r="C390" s="2" t="s">
        <v>195</v>
      </c>
      <c r="D390" s="16">
        <f t="shared" ref="D390:D391" si="26">D393+D396+D399+D402</f>
        <v>82897</v>
      </c>
    </row>
    <row r="391" spans="1:6" x14ac:dyDescent="0.25">
      <c r="A391" s="15"/>
      <c r="B391" s="15" t="s">
        <v>196</v>
      </c>
      <c r="C391" s="25" t="s">
        <v>197</v>
      </c>
      <c r="D391" s="16">
        <f t="shared" si="26"/>
        <v>75899</v>
      </c>
    </row>
    <row r="392" spans="1:6" x14ac:dyDescent="0.25">
      <c r="A392" s="18" t="s">
        <v>30</v>
      </c>
      <c r="B392" s="11" t="s">
        <v>135</v>
      </c>
      <c r="C392" s="5" t="s">
        <v>136</v>
      </c>
      <c r="D392" s="17"/>
    </row>
    <row r="393" spans="1:6" x14ac:dyDescent="0.25">
      <c r="A393" s="18"/>
      <c r="B393" s="33" t="s">
        <v>194</v>
      </c>
      <c r="C393" s="34" t="s">
        <v>195</v>
      </c>
      <c r="D393" s="88">
        <f>22202-8711-60+20415-20415+33174+10031</f>
        <v>56636</v>
      </c>
    </row>
    <row r="394" spans="1:6" x14ac:dyDescent="0.25">
      <c r="A394" s="18"/>
      <c r="B394" s="33" t="s">
        <v>196</v>
      </c>
      <c r="C394" s="34" t="s">
        <v>197</v>
      </c>
      <c r="D394" s="88">
        <f>22202-4935+20415-20415+32371</f>
        <v>49638</v>
      </c>
    </row>
    <row r="395" spans="1:6" x14ac:dyDescent="0.25">
      <c r="A395" s="18" t="s">
        <v>30</v>
      </c>
      <c r="B395" s="11" t="s">
        <v>137</v>
      </c>
      <c r="C395" s="5" t="s">
        <v>138</v>
      </c>
      <c r="D395" s="17"/>
    </row>
    <row r="396" spans="1:6" x14ac:dyDescent="0.25">
      <c r="A396" s="18"/>
      <c r="B396" s="33" t="s">
        <v>194</v>
      </c>
      <c r="C396" s="34" t="s">
        <v>195</v>
      </c>
      <c r="D396" s="88">
        <f>7037+2325+442-2094+43+13689+954+94</f>
        <v>22490</v>
      </c>
    </row>
    <row r="397" spans="1:6" x14ac:dyDescent="0.25">
      <c r="A397" s="18"/>
      <c r="B397" s="33" t="s">
        <v>196</v>
      </c>
      <c r="C397" s="34" t="s">
        <v>197</v>
      </c>
      <c r="D397" s="88">
        <f>7037+2325+442-2094+50+13682+954+94</f>
        <v>22490</v>
      </c>
    </row>
    <row r="398" spans="1:6" x14ac:dyDescent="0.25">
      <c r="A398" s="18" t="s">
        <v>30</v>
      </c>
      <c r="B398" s="11" t="s">
        <v>139</v>
      </c>
      <c r="C398" s="5" t="s">
        <v>140</v>
      </c>
      <c r="D398" s="17"/>
    </row>
    <row r="399" spans="1:6" x14ac:dyDescent="0.25">
      <c r="A399" s="18"/>
      <c r="B399" s="33" t="s">
        <v>194</v>
      </c>
      <c r="C399" s="34" t="s">
        <v>195</v>
      </c>
      <c r="D399" s="17">
        <f>89-41+276</f>
        <v>324</v>
      </c>
    </row>
    <row r="400" spans="1:6" x14ac:dyDescent="0.25">
      <c r="A400" s="18"/>
      <c r="B400" s="33" t="s">
        <v>196</v>
      </c>
      <c r="C400" s="34" t="s">
        <v>197</v>
      </c>
      <c r="D400" s="17">
        <f>89-41+276</f>
        <v>324</v>
      </c>
    </row>
    <row r="401" spans="1:6" x14ac:dyDescent="0.25">
      <c r="A401" s="18" t="s">
        <v>30</v>
      </c>
      <c r="B401" s="11" t="s">
        <v>141</v>
      </c>
      <c r="C401" s="5" t="s">
        <v>320</v>
      </c>
      <c r="D401" s="17"/>
    </row>
    <row r="402" spans="1:6" x14ac:dyDescent="0.25">
      <c r="A402" s="18"/>
      <c r="B402" s="33" t="s">
        <v>194</v>
      </c>
      <c r="C402" s="34" t="s">
        <v>195</v>
      </c>
      <c r="D402" s="17">
        <f>4892-1385-489+525-2-94</f>
        <v>3447</v>
      </c>
    </row>
    <row r="403" spans="1:6" x14ac:dyDescent="0.25">
      <c r="A403" s="18"/>
      <c r="B403" s="33" t="s">
        <v>196</v>
      </c>
      <c r="C403" s="34" t="s">
        <v>197</v>
      </c>
      <c r="D403" s="17">
        <f>4892-1385-491+525-94</f>
        <v>3447</v>
      </c>
    </row>
    <row r="404" spans="1:6" x14ac:dyDescent="0.25">
      <c r="A404" s="15" t="s">
        <v>30</v>
      </c>
      <c r="B404" s="15" t="s">
        <v>142</v>
      </c>
      <c r="C404" s="6" t="s">
        <v>251</v>
      </c>
      <c r="D404" s="20"/>
    </row>
    <row r="405" spans="1:6" x14ac:dyDescent="0.25">
      <c r="A405" s="15"/>
      <c r="B405" s="15" t="s">
        <v>194</v>
      </c>
      <c r="C405" s="25" t="s">
        <v>195</v>
      </c>
      <c r="D405" s="20">
        <f>35693-1942+17+3026</f>
        <v>36794</v>
      </c>
    </row>
    <row r="406" spans="1:6" x14ac:dyDescent="0.25">
      <c r="A406" s="15"/>
      <c r="B406" s="15" t="s">
        <v>196</v>
      </c>
      <c r="C406" s="25" t="s">
        <v>197</v>
      </c>
      <c r="D406" s="20">
        <f>35693-14424-50+3779</f>
        <v>24998</v>
      </c>
    </row>
    <row r="407" spans="1:6" x14ac:dyDescent="0.25">
      <c r="A407" s="21"/>
      <c r="B407" s="21"/>
      <c r="C407" s="22" t="s">
        <v>143</v>
      </c>
      <c r="D407" s="23"/>
    </row>
    <row r="408" spans="1:6" x14ac:dyDescent="0.25">
      <c r="A408" s="21"/>
      <c r="B408" s="21" t="s">
        <v>194</v>
      </c>
      <c r="C408" s="22" t="s">
        <v>195</v>
      </c>
      <c r="D408" s="23">
        <f>D411+D489</f>
        <v>4235897</v>
      </c>
      <c r="F408" s="133">
        <f>D408-D453+D24</f>
        <v>3888523</v>
      </c>
    </row>
    <row r="409" spans="1:6" x14ac:dyDescent="0.25">
      <c r="A409" s="21"/>
      <c r="B409" s="21" t="s">
        <v>196</v>
      </c>
      <c r="C409" s="22" t="s">
        <v>197</v>
      </c>
      <c r="D409" s="23">
        <f>D412+D490</f>
        <v>720611</v>
      </c>
      <c r="F409" s="133">
        <f>D409-D454+D24</f>
        <v>698998</v>
      </c>
    </row>
    <row r="410" spans="1:6" x14ac:dyDescent="0.25">
      <c r="A410" s="21" t="s">
        <v>30</v>
      </c>
      <c r="B410" s="21" t="s">
        <v>41</v>
      </c>
      <c r="C410" s="22" t="s">
        <v>202</v>
      </c>
      <c r="D410" s="23"/>
    </row>
    <row r="411" spans="1:6" x14ac:dyDescent="0.25">
      <c r="A411" s="21"/>
      <c r="B411" s="21" t="s">
        <v>194</v>
      </c>
      <c r="C411" s="22" t="s">
        <v>195</v>
      </c>
      <c r="D411" s="23">
        <f>D414+D471</f>
        <v>4234997</v>
      </c>
    </row>
    <row r="412" spans="1:6" x14ac:dyDescent="0.25">
      <c r="A412" s="21"/>
      <c r="B412" s="21" t="s">
        <v>196</v>
      </c>
      <c r="C412" s="22" t="s">
        <v>197</v>
      </c>
      <c r="D412" s="23">
        <f>D415+D472</f>
        <v>719711</v>
      </c>
    </row>
    <row r="413" spans="1:6" x14ac:dyDescent="0.25">
      <c r="A413" s="21" t="s">
        <v>30</v>
      </c>
      <c r="B413" s="21" t="s">
        <v>32</v>
      </c>
      <c r="C413" s="22" t="s">
        <v>33</v>
      </c>
      <c r="D413" s="23"/>
    </row>
    <row r="414" spans="1:6" x14ac:dyDescent="0.25">
      <c r="A414" s="21"/>
      <c r="B414" s="21" t="s">
        <v>194</v>
      </c>
      <c r="C414" s="22" t="s">
        <v>195</v>
      </c>
      <c r="D414" s="23">
        <f>D417+D426+D453+D465</f>
        <v>3816073</v>
      </c>
    </row>
    <row r="415" spans="1:6" x14ac:dyDescent="0.25">
      <c r="A415" s="21"/>
      <c r="B415" s="21" t="s">
        <v>196</v>
      </c>
      <c r="C415" s="22" t="s">
        <v>197</v>
      </c>
      <c r="D415" s="23">
        <f>D418+D427+D454+D466</f>
        <v>597611</v>
      </c>
    </row>
    <row r="416" spans="1:6" x14ac:dyDescent="0.25">
      <c r="A416" s="21" t="s">
        <v>30</v>
      </c>
      <c r="B416" s="21" t="s">
        <v>144</v>
      </c>
      <c r="C416" s="22" t="s">
        <v>198</v>
      </c>
      <c r="D416" s="23"/>
    </row>
    <row r="417" spans="1:5" x14ac:dyDescent="0.25">
      <c r="A417" s="21"/>
      <c r="B417" s="21" t="s">
        <v>194</v>
      </c>
      <c r="C417" s="22" t="s">
        <v>195</v>
      </c>
      <c r="D417" s="23">
        <f>D420</f>
        <v>225</v>
      </c>
    </row>
    <row r="418" spans="1:5" x14ac:dyDescent="0.25">
      <c r="A418" s="21"/>
      <c r="B418" s="21" t="s">
        <v>196</v>
      </c>
      <c r="C418" s="22" t="s">
        <v>197</v>
      </c>
      <c r="D418" s="23">
        <f t="shared" ref="D418" si="27">D421</f>
        <v>225</v>
      </c>
    </row>
    <row r="419" spans="1:5" x14ac:dyDescent="0.25">
      <c r="A419" s="21" t="s">
        <v>30</v>
      </c>
      <c r="B419" s="21" t="s">
        <v>106</v>
      </c>
      <c r="C419" s="22" t="s">
        <v>107</v>
      </c>
      <c r="D419" s="23"/>
    </row>
    <row r="420" spans="1:5" x14ac:dyDescent="0.25">
      <c r="A420" s="21"/>
      <c r="B420" s="21" t="s">
        <v>194</v>
      </c>
      <c r="C420" s="22" t="s">
        <v>195</v>
      </c>
      <c r="D420" s="23">
        <f>D423</f>
        <v>225</v>
      </c>
    </row>
    <row r="421" spans="1:5" x14ac:dyDescent="0.25">
      <c r="A421" s="21"/>
      <c r="B421" s="21" t="s">
        <v>196</v>
      </c>
      <c r="C421" s="22" t="s">
        <v>197</v>
      </c>
      <c r="D421" s="23">
        <f t="shared" ref="D421" si="28">D424</f>
        <v>225</v>
      </c>
    </row>
    <row r="422" spans="1:5" x14ac:dyDescent="0.25">
      <c r="A422" s="18" t="s">
        <v>30</v>
      </c>
      <c r="B422" s="18" t="s">
        <v>114</v>
      </c>
      <c r="C422" s="5" t="s">
        <v>186</v>
      </c>
      <c r="D422" s="17"/>
    </row>
    <row r="423" spans="1:5" x14ac:dyDescent="0.25">
      <c r="A423" s="18"/>
      <c r="B423" s="33" t="s">
        <v>194</v>
      </c>
      <c r="C423" s="34" t="s">
        <v>195</v>
      </c>
      <c r="D423" s="88">
        <v>225</v>
      </c>
    </row>
    <row r="424" spans="1:5" x14ac:dyDescent="0.25">
      <c r="A424" s="18"/>
      <c r="B424" s="33" t="s">
        <v>196</v>
      </c>
      <c r="C424" s="34" t="s">
        <v>197</v>
      </c>
      <c r="D424" s="88">
        <v>225</v>
      </c>
    </row>
    <row r="425" spans="1:5" ht="38.25" x14ac:dyDescent="0.25">
      <c r="A425" s="21" t="s">
        <v>30</v>
      </c>
      <c r="B425" s="21" t="s">
        <v>35</v>
      </c>
      <c r="C425" s="22" t="s">
        <v>252</v>
      </c>
      <c r="D425" s="23"/>
    </row>
    <row r="426" spans="1:5" x14ac:dyDescent="0.25">
      <c r="A426" s="21"/>
      <c r="B426" s="21" t="s">
        <v>194</v>
      </c>
      <c r="C426" s="22" t="s">
        <v>195</v>
      </c>
      <c r="D426" s="23">
        <f>D429+D441</f>
        <v>3404608</v>
      </c>
    </row>
    <row r="427" spans="1:5" x14ac:dyDescent="0.25">
      <c r="A427" s="21"/>
      <c r="B427" s="21" t="s">
        <v>196</v>
      </c>
      <c r="C427" s="22" t="s">
        <v>197</v>
      </c>
      <c r="D427" s="23">
        <f>D430+D442</f>
        <v>529313</v>
      </c>
    </row>
    <row r="428" spans="1:5" x14ac:dyDescent="0.25">
      <c r="A428" s="21" t="s">
        <v>30</v>
      </c>
      <c r="B428" s="21" t="s">
        <v>117</v>
      </c>
      <c r="C428" s="22" t="s">
        <v>247</v>
      </c>
      <c r="D428" s="23"/>
    </row>
    <row r="429" spans="1:5" x14ac:dyDescent="0.25">
      <c r="A429" s="21"/>
      <c r="B429" s="21" t="s">
        <v>194</v>
      </c>
      <c r="C429" s="22" t="s">
        <v>195</v>
      </c>
      <c r="D429" s="23">
        <f t="shared" ref="D429:D430" si="29">D432+D435+D438</f>
        <v>3476</v>
      </c>
      <c r="E429" s="95"/>
    </row>
    <row r="430" spans="1:5" x14ac:dyDescent="0.25">
      <c r="A430" s="21"/>
      <c r="B430" s="21" t="s">
        <v>196</v>
      </c>
      <c r="C430" s="22" t="s">
        <v>197</v>
      </c>
      <c r="D430" s="23">
        <f t="shared" si="29"/>
        <v>7025</v>
      </c>
      <c r="E430" s="95"/>
    </row>
    <row r="431" spans="1:5" x14ac:dyDescent="0.25">
      <c r="A431" s="66" t="s">
        <v>30</v>
      </c>
      <c r="B431" s="66" t="s">
        <v>118</v>
      </c>
      <c r="C431" s="5" t="s">
        <v>245</v>
      </c>
      <c r="D431" s="17"/>
      <c r="E431" s="95"/>
    </row>
    <row r="432" spans="1:5" x14ac:dyDescent="0.25">
      <c r="A432" s="66"/>
      <c r="B432" s="33" t="s">
        <v>194</v>
      </c>
      <c r="C432" s="34" t="s">
        <v>195</v>
      </c>
      <c r="D432" s="88">
        <f>389-389+445+77</f>
        <v>522</v>
      </c>
      <c r="E432" s="95"/>
    </row>
    <row r="433" spans="1:5" x14ac:dyDescent="0.25">
      <c r="A433" s="66"/>
      <c r="B433" s="33" t="s">
        <v>196</v>
      </c>
      <c r="C433" s="34" t="s">
        <v>197</v>
      </c>
      <c r="D433" s="86">
        <f>1345-292</f>
        <v>1053</v>
      </c>
      <c r="E433" s="95"/>
    </row>
    <row r="434" spans="1:5" x14ac:dyDescent="0.25">
      <c r="A434" s="12" t="s">
        <v>30</v>
      </c>
      <c r="B434" s="12" t="s">
        <v>119</v>
      </c>
      <c r="C434" s="69" t="s">
        <v>248</v>
      </c>
      <c r="D434" s="119"/>
      <c r="E434" s="95"/>
    </row>
    <row r="435" spans="1:5" x14ac:dyDescent="0.25">
      <c r="A435" s="12"/>
      <c r="B435" s="33" t="s">
        <v>194</v>
      </c>
      <c r="C435" s="34" t="s">
        <v>195</v>
      </c>
      <c r="D435" s="88">
        <f>2201-2201+2520+434</f>
        <v>2954</v>
      </c>
      <c r="E435" s="95"/>
    </row>
    <row r="436" spans="1:5" x14ac:dyDescent="0.25">
      <c r="A436" s="12"/>
      <c r="B436" s="33" t="s">
        <v>196</v>
      </c>
      <c r="C436" s="34" t="s">
        <v>197</v>
      </c>
      <c r="D436" s="86">
        <f>7623-1651</f>
        <v>5972</v>
      </c>
      <c r="E436" s="95"/>
    </row>
    <row r="437" spans="1:5" hidden="1" x14ac:dyDescent="0.25">
      <c r="A437" s="12" t="s">
        <v>30</v>
      </c>
      <c r="B437" s="12" t="s">
        <v>120</v>
      </c>
      <c r="C437" s="61" t="s">
        <v>116</v>
      </c>
      <c r="D437" s="70"/>
      <c r="E437" s="95"/>
    </row>
    <row r="438" spans="1:5" hidden="1" x14ac:dyDescent="0.25">
      <c r="A438" s="12"/>
      <c r="B438" s="33" t="s">
        <v>194</v>
      </c>
      <c r="C438" s="53" t="s">
        <v>195</v>
      </c>
      <c r="D438" s="17">
        <v>0</v>
      </c>
      <c r="E438" s="95"/>
    </row>
    <row r="439" spans="1:5" hidden="1" x14ac:dyDescent="0.25">
      <c r="A439" s="12"/>
      <c r="B439" s="33" t="s">
        <v>196</v>
      </c>
      <c r="C439" s="54" t="s">
        <v>197</v>
      </c>
      <c r="D439" s="29">
        <v>0</v>
      </c>
      <c r="E439" s="95"/>
    </row>
    <row r="440" spans="1:5" x14ac:dyDescent="0.25">
      <c r="A440" s="21" t="s">
        <v>30</v>
      </c>
      <c r="B440" s="21" t="s">
        <v>145</v>
      </c>
      <c r="C440" s="22" t="s">
        <v>307</v>
      </c>
      <c r="D440" s="23"/>
    </row>
    <row r="441" spans="1:5" x14ac:dyDescent="0.25">
      <c r="A441" s="21"/>
      <c r="B441" s="21" t="s">
        <v>194</v>
      </c>
      <c r="C441" s="22" t="s">
        <v>195</v>
      </c>
      <c r="D441" s="23">
        <f t="shared" ref="D441:D442" si="30">D444+D447+D450</f>
        <v>3401132</v>
      </c>
      <c r="E441" s="95"/>
    </row>
    <row r="442" spans="1:5" x14ac:dyDescent="0.25">
      <c r="A442" s="21"/>
      <c r="B442" s="21" t="s">
        <v>196</v>
      </c>
      <c r="C442" s="22" t="s">
        <v>197</v>
      </c>
      <c r="D442" s="23">
        <f t="shared" si="30"/>
        <v>522288</v>
      </c>
      <c r="E442" s="95"/>
    </row>
    <row r="443" spans="1:5" x14ac:dyDescent="0.25">
      <c r="A443" s="66" t="s">
        <v>30</v>
      </c>
      <c r="B443" s="66" t="s">
        <v>146</v>
      </c>
      <c r="C443" s="5" t="s">
        <v>245</v>
      </c>
      <c r="D443" s="17"/>
      <c r="E443" s="95"/>
    </row>
    <row r="444" spans="1:5" x14ac:dyDescent="0.25">
      <c r="A444" s="66"/>
      <c r="B444" s="33" t="s">
        <v>194</v>
      </c>
      <c r="C444" s="34" t="s">
        <v>195</v>
      </c>
      <c r="D444" s="88">
        <f>444173-3038-445-77</f>
        <v>440613</v>
      </c>
      <c r="E444" s="95"/>
    </row>
    <row r="445" spans="1:5" x14ac:dyDescent="0.25">
      <c r="A445" s="66"/>
      <c r="B445" s="33" t="s">
        <v>196</v>
      </c>
      <c r="C445" s="34" t="s">
        <v>197</v>
      </c>
      <c r="D445" s="86">
        <f>109745-5084-38251</f>
        <v>66410</v>
      </c>
      <c r="E445" s="95"/>
    </row>
    <row r="446" spans="1:5" x14ac:dyDescent="0.25">
      <c r="A446" s="12" t="s">
        <v>30</v>
      </c>
      <c r="B446" s="12" t="s">
        <v>147</v>
      </c>
      <c r="C446" s="69" t="s">
        <v>248</v>
      </c>
      <c r="D446" s="119"/>
      <c r="E446" s="95"/>
    </row>
    <row r="447" spans="1:5" x14ac:dyDescent="0.25">
      <c r="A447" s="12"/>
      <c r="B447" s="33" t="s">
        <v>194</v>
      </c>
      <c r="C447" s="34" t="s">
        <v>195</v>
      </c>
      <c r="D447" s="88">
        <f>2515398-17212-2520-434</f>
        <v>2495232</v>
      </c>
      <c r="E447" s="95"/>
    </row>
    <row r="448" spans="1:5" x14ac:dyDescent="0.25">
      <c r="A448" s="12"/>
      <c r="B448" s="33" t="s">
        <v>196</v>
      </c>
      <c r="C448" s="34" t="s">
        <v>197</v>
      </c>
      <c r="D448" s="86">
        <f>737625-28530-332761</f>
        <v>376334</v>
      </c>
      <c r="E448" s="95"/>
    </row>
    <row r="449" spans="1:5" x14ac:dyDescent="0.25">
      <c r="A449" s="12" t="s">
        <v>30</v>
      </c>
      <c r="B449" s="12" t="s">
        <v>256</v>
      </c>
      <c r="C449" s="61" t="s">
        <v>116</v>
      </c>
      <c r="D449" s="119"/>
      <c r="E449" s="95"/>
    </row>
    <row r="450" spans="1:5" x14ac:dyDescent="0.25">
      <c r="A450" s="12"/>
      <c r="B450" s="33" t="s">
        <v>194</v>
      </c>
      <c r="C450" s="53" t="s">
        <v>195</v>
      </c>
      <c r="D450" s="88">
        <v>465287</v>
      </c>
      <c r="E450" s="95"/>
    </row>
    <row r="451" spans="1:5" x14ac:dyDescent="0.25">
      <c r="A451" s="12"/>
      <c r="B451" s="33" t="s">
        <v>196</v>
      </c>
      <c r="C451" s="54" t="s">
        <v>197</v>
      </c>
      <c r="D451" s="88">
        <f>108532-28988</f>
        <v>79544</v>
      </c>
      <c r="E451" s="95"/>
    </row>
    <row r="452" spans="1:5" ht="25.5" x14ac:dyDescent="0.25">
      <c r="A452" s="21" t="s">
        <v>30</v>
      </c>
      <c r="B452" s="21">
        <v>61</v>
      </c>
      <c r="C452" s="22" t="s">
        <v>334</v>
      </c>
      <c r="D452" s="23"/>
      <c r="E452" s="95"/>
    </row>
    <row r="453" spans="1:5" x14ac:dyDescent="0.25">
      <c r="A453" s="21"/>
      <c r="B453" s="21" t="s">
        <v>194</v>
      </c>
      <c r="C453" s="22" t="s">
        <v>195</v>
      </c>
      <c r="D453" s="23">
        <f>D456+D459+D462</f>
        <v>355334</v>
      </c>
      <c r="E453" s="95"/>
    </row>
    <row r="454" spans="1:5" x14ac:dyDescent="0.25">
      <c r="A454" s="21"/>
      <c r="B454" s="21" t="s">
        <v>196</v>
      </c>
      <c r="C454" s="22" t="s">
        <v>197</v>
      </c>
      <c r="D454" s="23">
        <f>D457+D460+D463</f>
        <v>29573</v>
      </c>
      <c r="E454" s="95"/>
    </row>
    <row r="455" spans="1:5" x14ac:dyDescent="0.25">
      <c r="A455" s="33" t="s">
        <v>30</v>
      </c>
      <c r="B455" s="124" t="s">
        <v>335</v>
      </c>
      <c r="C455" s="125" t="s">
        <v>328</v>
      </c>
      <c r="D455" s="126"/>
      <c r="E455" s="95"/>
    </row>
    <row r="456" spans="1:5" x14ac:dyDescent="0.25">
      <c r="A456" s="33"/>
      <c r="B456" s="33" t="s">
        <v>194</v>
      </c>
      <c r="C456" s="34" t="s">
        <v>195</v>
      </c>
      <c r="D456" s="126">
        <v>300309</v>
      </c>
      <c r="E456" s="95"/>
    </row>
    <row r="457" spans="1:5" x14ac:dyDescent="0.25">
      <c r="A457" s="33"/>
      <c r="B457" s="33" t="s">
        <v>196</v>
      </c>
      <c r="C457" s="34" t="s">
        <v>197</v>
      </c>
      <c r="D457" s="126">
        <v>25036</v>
      </c>
      <c r="E457" s="95"/>
    </row>
    <row r="458" spans="1:5" x14ac:dyDescent="0.25">
      <c r="A458" s="33" t="s">
        <v>30</v>
      </c>
      <c r="B458" s="124" t="s">
        <v>336</v>
      </c>
      <c r="C458" s="125" t="s">
        <v>330</v>
      </c>
      <c r="D458" s="126"/>
      <c r="E458" s="95"/>
    </row>
    <row r="459" spans="1:5" x14ac:dyDescent="0.25">
      <c r="A459" s="33"/>
      <c r="B459" s="33" t="s">
        <v>194</v>
      </c>
      <c r="C459" s="34" t="s">
        <v>195</v>
      </c>
      <c r="D459" s="126">
        <v>0</v>
      </c>
      <c r="E459" s="95"/>
    </row>
    <row r="460" spans="1:5" x14ac:dyDescent="0.25">
      <c r="A460" s="33"/>
      <c r="B460" s="33" t="s">
        <v>196</v>
      </c>
      <c r="C460" s="34" t="s">
        <v>197</v>
      </c>
      <c r="D460" s="126">
        <v>0</v>
      </c>
      <c r="E460" s="95"/>
    </row>
    <row r="461" spans="1:5" x14ac:dyDescent="0.25">
      <c r="A461" s="33" t="s">
        <v>30</v>
      </c>
      <c r="B461" s="124" t="s">
        <v>337</v>
      </c>
      <c r="C461" s="125" t="s">
        <v>332</v>
      </c>
      <c r="D461" s="126"/>
      <c r="E461" s="95"/>
    </row>
    <row r="462" spans="1:5" x14ac:dyDescent="0.25">
      <c r="A462" s="33"/>
      <c r="B462" s="33" t="s">
        <v>194</v>
      </c>
      <c r="C462" s="34" t="s">
        <v>195</v>
      </c>
      <c r="D462" s="126">
        <v>55025</v>
      </c>
      <c r="E462" s="95"/>
    </row>
    <row r="463" spans="1:5" x14ac:dyDescent="0.25">
      <c r="A463" s="33"/>
      <c r="B463" s="33" t="s">
        <v>196</v>
      </c>
      <c r="C463" s="34" t="s">
        <v>197</v>
      </c>
      <c r="D463" s="126">
        <v>4537</v>
      </c>
      <c r="E463" s="95"/>
    </row>
    <row r="464" spans="1:5" ht="25.5" x14ac:dyDescent="0.25">
      <c r="A464" s="35" t="s">
        <v>30</v>
      </c>
      <c r="B464" s="35" t="s">
        <v>148</v>
      </c>
      <c r="C464" s="22" t="s">
        <v>201</v>
      </c>
      <c r="D464" s="23"/>
    </row>
    <row r="465" spans="1:4" x14ac:dyDescent="0.25">
      <c r="A465" s="35"/>
      <c r="B465" s="21" t="s">
        <v>194</v>
      </c>
      <c r="C465" s="22" t="s">
        <v>195</v>
      </c>
      <c r="D465" s="23">
        <f>D468</f>
        <v>55906</v>
      </c>
    </row>
    <row r="466" spans="1:4" x14ac:dyDescent="0.25">
      <c r="A466" s="35"/>
      <c r="B466" s="21" t="s">
        <v>196</v>
      </c>
      <c r="C466" s="22" t="s">
        <v>197</v>
      </c>
      <c r="D466" s="23">
        <f t="shared" ref="D466" si="31">D469</f>
        <v>38500</v>
      </c>
    </row>
    <row r="467" spans="1:4" ht="25.5" x14ac:dyDescent="0.25">
      <c r="A467" s="12" t="s">
        <v>30</v>
      </c>
      <c r="B467" s="12" t="s">
        <v>149</v>
      </c>
      <c r="C467" s="5" t="s">
        <v>255</v>
      </c>
      <c r="D467" s="17"/>
    </row>
    <row r="468" spans="1:4" x14ac:dyDescent="0.25">
      <c r="A468" s="12"/>
      <c r="B468" s="33" t="s">
        <v>194</v>
      </c>
      <c r="C468" s="34" t="s">
        <v>195</v>
      </c>
      <c r="D468" s="88">
        <f>38500+17406</f>
        <v>55906</v>
      </c>
    </row>
    <row r="469" spans="1:4" x14ac:dyDescent="0.25">
      <c r="A469" s="12"/>
      <c r="B469" s="33" t="s">
        <v>196</v>
      </c>
      <c r="C469" s="34" t="s">
        <v>197</v>
      </c>
      <c r="D469" s="88">
        <v>38500</v>
      </c>
    </row>
    <row r="470" spans="1:4" x14ac:dyDescent="0.25">
      <c r="A470" s="21" t="s">
        <v>30</v>
      </c>
      <c r="B470" s="21" t="s">
        <v>129</v>
      </c>
      <c r="C470" s="22" t="s">
        <v>38</v>
      </c>
      <c r="D470" s="23"/>
    </row>
    <row r="471" spans="1:4" x14ac:dyDescent="0.25">
      <c r="A471" s="21"/>
      <c r="B471" s="21" t="s">
        <v>194</v>
      </c>
      <c r="C471" s="22" t="s">
        <v>195</v>
      </c>
      <c r="D471" s="23">
        <f t="shared" ref="D471:D472" si="32">D474</f>
        <v>418924</v>
      </c>
    </row>
    <row r="472" spans="1:4" x14ac:dyDescent="0.25">
      <c r="A472" s="21"/>
      <c r="B472" s="21" t="s">
        <v>196</v>
      </c>
      <c r="C472" s="22" t="s">
        <v>197</v>
      </c>
      <c r="D472" s="23">
        <f t="shared" si="32"/>
        <v>122100</v>
      </c>
    </row>
    <row r="473" spans="1:4" x14ac:dyDescent="0.25">
      <c r="A473" s="21" t="s">
        <v>30</v>
      </c>
      <c r="B473" s="21" t="s">
        <v>131</v>
      </c>
      <c r="C473" s="22" t="s">
        <v>132</v>
      </c>
      <c r="D473" s="23"/>
    </row>
    <row r="474" spans="1:4" x14ac:dyDescent="0.25">
      <c r="A474" s="21"/>
      <c r="B474" s="21" t="s">
        <v>194</v>
      </c>
      <c r="C474" s="22" t="s">
        <v>195</v>
      </c>
      <c r="D474" s="23">
        <f>D477+D486</f>
        <v>418924</v>
      </c>
    </row>
    <row r="475" spans="1:4" x14ac:dyDescent="0.25">
      <c r="A475" s="21"/>
      <c r="B475" s="21" t="s">
        <v>196</v>
      </c>
      <c r="C475" s="22" t="s">
        <v>197</v>
      </c>
      <c r="D475" s="23">
        <f>D478+D487</f>
        <v>122100</v>
      </c>
    </row>
    <row r="476" spans="1:4" x14ac:dyDescent="0.25">
      <c r="A476" s="21" t="s">
        <v>30</v>
      </c>
      <c r="B476" s="21" t="s">
        <v>133</v>
      </c>
      <c r="C476" s="22" t="s">
        <v>134</v>
      </c>
      <c r="D476" s="23"/>
    </row>
    <row r="477" spans="1:4" x14ac:dyDescent="0.25">
      <c r="A477" s="21"/>
      <c r="B477" s="21" t="s">
        <v>194</v>
      </c>
      <c r="C477" s="22" t="s">
        <v>195</v>
      </c>
      <c r="D477" s="23">
        <f>D480+D483</f>
        <v>401403</v>
      </c>
    </row>
    <row r="478" spans="1:4" x14ac:dyDescent="0.25">
      <c r="A478" s="21"/>
      <c r="B478" s="21" t="s">
        <v>196</v>
      </c>
      <c r="C478" s="22" t="s">
        <v>197</v>
      </c>
      <c r="D478" s="23">
        <f t="shared" ref="D478" si="33">D481+D484</f>
        <v>122100</v>
      </c>
    </row>
    <row r="479" spans="1:4" x14ac:dyDescent="0.25">
      <c r="A479" s="18" t="s">
        <v>30</v>
      </c>
      <c r="B479" s="18" t="s">
        <v>135</v>
      </c>
      <c r="C479" s="5" t="s">
        <v>136</v>
      </c>
      <c r="D479" s="17"/>
    </row>
    <row r="480" spans="1:4" x14ac:dyDescent="0.25">
      <c r="A480" s="18"/>
      <c r="B480" s="33" t="s">
        <v>194</v>
      </c>
      <c r="C480" s="34" t="s">
        <v>195</v>
      </c>
      <c r="D480" s="88">
        <f>151443+249960</f>
        <v>401403</v>
      </c>
    </row>
    <row r="481" spans="1:4" x14ac:dyDescent="0.25">
      <c r="A481" s="18"/>
      <c r="B481" s="33" t="s">
        <v>196</v>
      </c>
      <c r="C481" s="34" t="s">
        <v>197</v>
      </c>
      <c r="D481" s="86">
        <f>151443-29343</f>
        <v>122100</v>
      </c>
    </row>
    <row r="482" spans="1:4" x14ac:dyDescent="0.25">
      <c r="A482" s="18" t="s">
        <v>30</v>
      </c>
      <c r="B482" s="18" t="s">
        <v>141</v>
      </c>
      <c r="C482" s="5" t="s">
        <v>14</v>
      </c>
      <c r="D482" s="88"/>
    </row>
    <row r="483" spans="1:4" x14ac:dyDescent="0.25">
      <c r="A483" s="18"/>
      <c r="B483" s="33" t="s">
        <v>194</v>
      </c>
      <c r="C483" s="34" t="s">
        <v>195</v>
      </c>
      <c r="D483" s="86">
        <f>657-657</f>
        <v>0</v>
      </c>
    </row>
    <row r="484" spans="1:4" x14ac:dyDescent="0.25">
      <c r="A484" s="18"/>
      <c r="B484" s="33" t="s">
        <v>196</v>
      </c>
      <c r="C484" s="34" t="s">
        <v>197</v>
      </c>
      <c r="D484" s="86">
        <f>657-657</f>
        <v>0</v>
      </c>
    </row>
    <row r="485" spans="1:4" x14ac:dyDescent="0.25">
      <c r="A485" s="18" t="s">
        <v>30</v>
      </c>
      <c r="B485" s="18" t="s">
        <v>142</v>
      </c>
      <c r="C485" s="5" t="s">
        <v>342</v>
      </c>
      <c r="D485" s="88"/>
    </row>
    <row r="486" spans="1:4" x14ac:dyDescent="0.25">
      <c r="A486" s="18"/>
      <c r="B486" s="33" t="s">
        <v>194</v>
      </c>
      <c r="C486" s="34" t="s">
        <v>195</v>
      </c>
      <c r="D486" s="86">
        <v>17521</v>
      </c>
    </row>
    <row r="487" spans="1:4" x14ac:dyDescent="0.25">
      <c r="A487" s="18"/>
      <c r="B487" s="33" t="s">
        <v>196</v>
      </c>
      <c r="C487" s="34" t="s">
        <v>197</v>
      </c>
      <c r="D487" s="86">
        <v>0</v>
      </c>
    </row>
    <row r="488" spans="1:4" x14ac:dyDescent="0.25">
      <c r="A488" s="21" t="s">
        <v>150</v>
      </c>
      <c r="B488" s="21" t="s">
        <v>151</v>
      </c>
      <c r="C488" s="22" t="s">
        <v>253</v>
      </c>
      <c r="D488" s="23"/>
    </row>
    <row r="489" spans="1:4" x14ac:dyDescent="0.25">
      <c r="A489" s="21"/>
      <c r="B489" s="21" t="s">
        <v>194</v>
      </c>
      <c r="C489" s="22" t="s">
        <v>195</v>
      </c>
      <c r="D489" s="23">
        <f t="shared" ref="D489:D490" si="34">D492+D501</f>
        <v>900</v>
      </c>
    </row>
    <row r="490" spans="1:4" x14ac:dyDescent="0.25">
      <c r="A490" s="21"/>
      <c r="B490" s="21" t="s">
        <v>196</v>
      </c>
      <c r="C490" s="22" t="s">
        <v>197</v>
      </c>
      <c r="D490" s="23">
        <f t="shared" si="34"/>
        <v>900</v>
      </c>
    </row>
    <row r="491" spans="1:4" x14ac:dyDescent="0.25">
      <c r="A491" s="21" t="s">
        <v>150</v>
      </c>
      <c r="B491" s="21" t="s">
        <v>32</v>
      </c>
      <c r="C491" s="22" t="s">
        <v>33</v>
      </c>
      <c r="D491" s="23"/>
    </row>
    <row r="492" spans="1:4" x14ac:dyDescent="0.25">
      <c r="A492" s="21"/>
      <c r="B492" s="21" t="s">
        <v>194</v>
      </c>
      <c r="C492" s="22" t="s">
        <v>195</v>
      </c>
      <c r="D492" s="23">
        <f t="shared" ref="D492:D493" si="35">D495</f>
        <v>450</v>
      </c>
    </row>
    <row r="493" spans="1:4" x14ac:dyDescent="0.25">
      <c r="A493" s="21"/>
      <c r="B493" s="21" t="s">
        <v>196</v>
      </c>
      <c r="C493" s="22" t="s">
        <v>197</v>
      </c>
      <c r="D493" s="23">
        <f t="shared" si="35"/>
        <v>450</v>
      </c>
    </row>
    <row r="494" spans="1:4" x14ac:dyDescent="0.25">
      <c r="A494" s="21" t="s">
        <v>150</v>
      </c>
      <c r="B494" s="21" t="s">
        <v>144</v>
      </c>
      <c r="C494" s="22" t="s">
        <v>198</v>
      </c>
      <c r="D494" s="23"/>
    </row>
    <row r="495" spans="1:4" x14ac:dyDescent="0.25">
      <c r="A495" s="21"/>
      <c r="B495" s="21" t="s">
        <v>194</v>
      </c>
      <c r="C495" s="22" t="s">
        <v>195</v>
      </c>
      <c r="D495" s="23">
        <f t="shared" ref="D495:D496" si="36">D498</f>
        <v>450</v>
      </c>
    </row>
    <row r="496" spans="1:4" x14ac:dyDescent="0.25">
      <c r="A496" s="21"/>
      <c r="B496" s="21" t="s">
        <v>196</v>
      </c>
      <c r="C496" s="22" t="s">
        <v>197</v>
      </c>
      <c r="D496" s="23">
        <f t="shared" si="36"/>
        <v>450</v>
      </c>
    </row>
    <row r="497" spans="1:4" x14ac:dyDescent="0.25">
      <c r="A497" s="18" t="s">
        <v>150</v>
      </c>
      <c r="B497" s="18" t="s">
        <v>102</v>
      </c>
      <c r="C497" s="5" t="s">
        <v>254</v>
      </c>
      <c r="D497" s="17"/>
    </row>
    <row r="498" spans="1:4" x14ac:dyDescent="0.25">
      <c r="A498" s="18"/>
      <c r="B498" s="33" t="s">
        <v>194</v>
      </c>
      <c r="C498" s="34" t="s">
        <v>195</v>
      </c>
      <c r="D498" s="88">
        <v>450</v>
      </c>
    </row>
    <row r="499" spans="1:4" x14ac:dyDescent="0.25">
      <c r="A499" s="18"/>
      <c r="B499" s="33" t="s">
        <v>196</v>
      </c>
      <c r="C499" s="34" t="s">
        <v>197</v>
      </c>
      <c r="D499" s="88">
        <v>450</v>
      </c>
    </row>
    <row r="500" spans="1:4" x14ac:dyDescent="0.25">
      <c r="A500" s="21" t="s">
        <v>150</v>
      </c>
      <c r="B500" s="21" t="s">
        <v>129</v>
      </c>
      <c r="C500" s="22" t="s">
        <v>38</v>
      </c>
      <c r="D500" s="23"/>
    </row>
    <row r="501" spans="1:4" x14ac:dyDescent="0.25">
      <c r="A501" s="21"/>
      <c r="B501" s="21" t="s">
        <v>194</v>
      </c>
      <c r="C501" s="22" t="s">
        <v>195</v>
      </c>
      <c r="D501" s="23">
        <f t="shared" ref="D501:D502" si="37">D504</f>
        <v>450</v>
      </c>
    </row>
    <row r="502" spans="1:4" x14ac:dyDescent="0.25">
      <c r="A502" s="21"/>
      <c r="B502" s="21" t="s">
        <v>196</v>
      </c>
      <c r="C502" s="22" t="s">
        <v>197</v>
      </c>
      <c r="D502" s="23">
        <f t="shared" si="37"/>
        <v>450</v>
      </c>
    </row>
    <row r="503" spans="1:4" x14ac:dyDescent="0.25">
      <c r="A503" s="18" t="s">
        <v>150</v>
      </c>
      <c r="B503" s="18" t="s">
        <v>152</v>
      </c>
      <c r="C503" s="5" t="s">
        <v>138</v>
      </c>
      <c r="D503" s="17"/>
    </row>
    <row r="504" spans="1:4" x14ac:dyDescent="0.25">
      <c r="A504" s="18"/>
      <c r="B504" s="33" t="s">
        <v>194</v>
      </c>
      <c r="C504" s="34" t="s">
        <v>195</v>
      </c>
      <c r="D504" s="88">
        <v>450</v>
      </c>
    </row>
    <row r="505" spans="1:4" x14ac:dyDescent="0.25">
      <c r="A505" s="18"/>
      <c r="B505" s="33" t="s">
        <v>196</v>
      </c>
      <c r="C505" s="34" t="s">
        <v>197</v>
      </c>
      <c r="D505" s="88">
        <v>450</v>
      </c>
    </row>
    <row r="506" spans="1:4" x14ac:dyDescent="0.25">
      <c r="A506" s="36" t="s">
        <v>30</v>
      </c>
      <c r="B506" s="36"/>
      <c r="C506" s="37" t="s">
        <v>153</v>
      </c>
      <c r="D506" s="38"/>
    </row>
    <row r="507" spans="1:4" x14ac:dyDescent="0.25">
      <c r="A507" s="36"/>
      <c r="B507" s="36" t="s">
        <v>194</v>
      </c>
      <c r="C507" s="37" t="s">
        <v>195</v>
      </c>
      <c r="D507" s="38">
        <f t="shared" ref="D507:D508" si="38">D510</f>
        <v>9614</v>
      </c>
    </row>
    <row r="508" spans="1:4" x14ac:dyDescent="0.25">
      <c r="A508" s="36"/>
      <c r="B508" s="36" t="s">
        <v>196</v>
      </c>
      <c r="C508" s="37" t="s">
        <v>197</v>
      </c>
      <c r="D508" s="38">
        <f t="shared" si="38"/>
        <v>9614</v>
      </c>
    </row>
    <row r="509" spans="1:4" x14ac:dyDescent="0.25">
      <c r="A509" s="36" t="s">
        <v>30</v>
      </c>
      <c r="B509" s="36" t="s">
        <v>41</v>
      </c>
      <c r="C509" s="37" t="s">
        <v>202</v>
      </c>
      <c r="D509" s="38"/>
    </row>
    <row r="510" spans="1:4" x14ac:dyDescent="0.25">
      <c r="A510" s="36"/>
      <c r="B510" s="36" t="s">
        <v>194</v>
      </c>
      <c r="C510" s="37" t="s">
        <v>195</v>
      </c>
      <c r="D510" s="38">
        <f t="shared" ref="D510:D511" si="39">D513</f>
        <v>9614</v>
      </c>
    </row>
    <row r="511" spans="1:4" x14ac:dyDescent="0.25">
      <c r="A511" s="36"/>
      <c r="B511" s="36" t="s">
        <v>196</v>
      </c>
      <c r="C511" s="37" t="s">
        <v>197</v>
      </c>
      <c r="D511" s="38">
        <f t="shared" si="39"/>
        <v>9614</v>
      </c>
    </row>
    <row r="512" spans="1:4" x14ac:dyDescent="0.25">
      <c r="A512" s="36" t="s">
        <v>30</v>
      </c>
      <c r="B512" s="36" t="s">
        <v>32</v>
      </c>
      <c r="C512" s="37" t="s">
        <v>33</v>
      </c>
      <c r="D512" s="38"/>
    </row>
    <row r="513" spans="1:4" x14ac:dyDescent="0.25">
      <c r="A513" s="36"/>
      <c r="B513" s="36" t="s">
        <v>194</v>
      </c>
      <c r="C513" s="37" t="s">
        <v>195</v>
      </c>
      <c r="D513" s="38">
        <f>D516+D525</f>
        <v>9614</v>
      </c>
    </row>
    <row r="514" spans="1:4" x14ac:dyDescent="0.25">
      <c r="A514" s="36"/>
      <c r="B514" s="36" t="s">
        <v>196</v>
      </c>
      <c r="C514" s="37" t="s">
        <v>197</v>
      </c>
      <c r="D514" s="38">
        <f>D517+D526</f>
        <v>9614</v>
      </c>
    </row>
    <row r="515" spans="1:4" ht="25.5" x14ac:dyDescent="0.25">
      <c r="A515" s="36" t="s">
        <v>30</v>
      </c>
      <c r="B515" s="48" t="s">
        <v>115</v>
      </c>
      <c r="C515" s="49" t="s">
        <v>199</v>
      </c>
      <c r="D515" s="39"/>
    </row>
    <row r="516" spans="1:4" x14ac:dyDescent="0.25">
      <c r="A516" s="36"/>
      <c r="B516" s="36" t="s">
        <v>194</v>
      </c>
      <c r="C516" s="37" t="s">
        <v>195</v>
      </c>
      <c r="D516" s="39">
        <f t="shared" ref="D516:D517" si="40">D519</f>
        <v>7</v>
      </c>
    </row>
    <row r="517" spans="1:4" x14ac:dyDescent="0.25">
      <c r="A517" s="36"/>
      <c r="B517" s="36" t="s">
        <v>196</v>
      </c>
      <c r="C517" s="37" t="s">
        <v>197</v>
      </c>
      <c r="D517" s="39">
        <f t="shared" si="40"/>
        <v>7</v>
      </c>
    </row>
    <row r="518" spans="1:4" x14ac:dyDescent="0.25">
      <c r="A518" s="36" t="s">
        <v>30</v>
      </c>
      <c r="B518" s="48" t="s">
        <v>154</v>
      </c>
      <c r="C518" s="49" t="s">
        <v>155</v>
      </c>
      <c r="D518" s="39"/>
    </row>
    <row r="519" spans="1:4" x14ac:dyDescent="0.25">
      <c r="A519" s="36"/>
      <c r="B519" s="36" t="s">
        <v>194</v>
      </c>
      <c r="C519" s="37" t="s">
        <v>195</v>
      </c>
      <c r="D519" s="39">
        <f t="shared" ref="D519:D520" si="41">D522</f>
        <v>7</v>
      </c>
    </row>
    <row r="520" spans="1:4" x14ac:dyDescent="0.25">
      <c r="A520" s="36"/>
      <c r="B520" s="36" t="s">
        <v>196</v>
      </c>
      <c r="C520" s="37" t="s">
        <v>197</v>
      </c>
      <c r="D520" s="39">
        <f t="shared" si="41"/>
        <v>7</v>
      </c>
    </row>
    <row r="521" spans="1:4" x14ac:dyDescent="0.25">
      <c r="A521" s="18" t="s">
        <v>30</v>
      </c>
      <c r="B521" s="12" t="s">
        <v>156</v>
      </c>
      <c r="C521" s="53" t="s">
        <v>246</v>
      </c>
      <c r="D521" s="73"/>
    </row>
    <row r="522" spans="1:4" x14ac:dyDescent="0.25">
      <c r="A522" s="18"/>
      <c r="B522" s="33" t="s">
        <v>194</v>
      </c>
      <c r="C522" s="34" t="s">
        <v>195</v>
      </c>
      <c r="D522" s="17">
        <v>7</v>
      </c>
    </row>
    <row r="523" spans="1:4" x14ac:dyDescent="0.25">
      <c r="A523" s="18"/>
      <c r="B523" s="33" t="s">
        <v>196</v>
      </c>
      <c r="C523" s="34" t="s">
        <v>197</v>
      </c>
      <c r="D523" s="29">
        <v>7</v>
      </c>
    </row>
    <row r="524" spans="1:4" ht="38.25" x14ac:dyDescent="0.25">
      <c r="A524" s="116" t="s">
        <v>30</v>
      </c>
      <c r="B524" s="48">
        <v>58</v>
      </c>
      <c r="C524" s="49" t="s">
        <v>200</v>
      </c>
      <c r="D524" s="39"/>
    </row>
    <row r="525" spans="1:4" x14ac:dyDescent="0.25">
      <c r="A525" s="36"/>
      <c r="B525" s="36" t="s">
        <v>194</v>
      </c>
      <c r="C525" s="37" t="s">
        <v>195</v>
      </c>
      <c r="D525" s="39">
        <f t="shared" ref="D525:D526" si="42">D528</f>
        <v>9607</v>
      </c>
    </row>
    <row r="526" spans="1:4" x14ac:dyDescent="0.25">
      <c r="A526" s="36"/>
      <c r="B526" s="36" t="s">
        <v>196</v>
      </c>
      <c r="C526" s="37" t="s">
        <v>197</v>
      </c>
      <c r="D526" s="39">
        <f t="shared" si="42"/>
        <v>9607</v>
      </c>
    </row>
    <row r="527" spans="1:4" x14ac:dyDescent="0.25">
      <c r="A527" s="36" t="s">
        <v>30</v>
      </c>
      <c r="B527" s="117" t="s">
        <v>321</v>
      </c>
      <c r="C527" s="49" t="s">
        <v>155</v>
      </c>
      <c r="D527" s="39"/>
    </row>
    <row r="528" spans="1:4" x14ac:dyDescent="0.25">
      <c r="A528" s="36"/>
      <c r="B528" s="36" t="s">
        <v>194</v>
      </c>
      <c r="C528" s="37" t="s">
        <v>195</v>
      </c>
      <c r="D528" s="39">
        <f t="shared" ref="D528:D529" si="43">D531</f>
        <v>9607</v>
      </c>
    </row>
    <row r="529" spans="1:5" x14ac:dyDescent="0.25">
      <c r="A529" s="36"/>
      <c r="B529" s="36" t="s">
        <v>196</v>
      </c>
      <c r="C529" s="37" t="s">
        <v>197</v>
      </c>
      <c r="D529" s="39">
        <f t="shared" si="43"/>
        <v>9607</v>
      </c>
    </row>
    <row r="530" spans="1:5" x14ac:dyDescent="0.25">
      <c r="A530" s="18" t="s">
        <v>30</v>
      </c>
      <c r="B530" s="12" t="s">
        <v>126</v>
      </c>
      <c r="C530" s="53" t="s">
        <v>246</v>
      </c>
      <c r="D530" s="73"/>
    </row>
    <row r="531" spans="1:5" x14ac:dyDescent="0.25">
      <c r="A531" s="18"/>
      <c r="B531" s="33" t="s">
        <v>194</v>
      </c>
      <c r="C531" s="34" t="s">
        <v>195</v>
      </c>
      <c r="D531" s="17">
        <v>9607</v>
      </c>
    </row>
    <row r="532" spans="1:5" x14ac:dyDescent="0.25">
      <c r="A532" s="18"/>
      <c r="B532" s="33" t="s">
        <v>196</v>
      </c>
      <c r="C532" s="34" t="s">
        <v>197</v>
      </c>
      <c r="D532" s="29">
        <v>9607</v>
      </c>
    </row>
    <row r="533" spans="1:5" x14ac:dyDescent="0.25">
      <c r="A533" s="18" t="s">
        <v>30</v>
      </c>
      <c r="B533" s="18" t="s">
        <v>157</v>
      </c>
      <c r="C533" s="53" t="s">
        <v>158</v>
      </c>
      <c r="D533" s="73">
        <f>D9-D67</f>
        <v>-119310</v>
      </c>
      <c r="E533" s="96">
        <f>D533+148390</f>
        <v>29080</v>
      </c>
    </row>
    <row r="534" spans="1:5" x14ac:dyDescent="0.25">
      <c r="E534" s="127">
        <f>D533+93390</f>
        <v>-25920</v>
      </c>
    </row>
    <row r="535" spans="1:5" x14ac:dyDescent="0.25">
      <c r="C535" s="9" t="s">
        <v>338</v>
      </c>
    </row>
    <row r="536" spans="1:5" x14ac:dyDescent="0.25">
      <c r="C536" s="9" t="s">
        <v>166</v>
      </c>
      <c r="E536" s="97">
        <v>359092</v>
      </c>
    </row>
    <row r="537" spans="1:5" x14ac:dyDescent="0.25">
      <c r="C537" s="9" t="s">
        <v>167</v>
      </c>
      <c r="E537" s="97">
        <v>310854</v>
      </c>
    </row>
    <row r="538" spans="1:5" x14ac:dyDescent="0.25">
      <c r="C538" s="9" t="s">
        <v>168</v>
      </c>
      <c r="E538" s="97">
        <v>-42634</v>
      </c>
    </row>
    <row r="539" spans="1:5" x14ac:dyDescent="0.25">
      <c r="C539" s="9" t="s">
        <v>278</v>
      </c>
      <c r="E539" s="97">
        <v>-181467</v>
      </c>
    </row>
    <row r="540" spans="1:5" x14ac:dyDescent="0.25">
      <c r="C540" s="9" t="s">
        <v>274</v>
      </c>
      <c r="E540" s="97">
        <v>-155786</v>
      </c>
    </row>
    <row r="541" spans="1:5" x14ac:dyDescent="0.25">
      <c r="C541" s="9" t="s">
        <v>303</v>
      </c>
      <c r="E541" s="97">
        <v>-176226</v>
      </c>
    </row>
    <row r="542" spans="1:5" x14ac:dyDescent="0.25">
      <c r="C542" s="9" t="s">
        <v>314</v>
      </c>
      <c r="E542" s="97">
        <v>-66728</v>
      </c>
    </row>
    <row r="543" spans="1:5" x14ac:dyDescent="0.25">
      <c r="C543" s="9" t="s">
        <v>339</v>
      </c>
      <c r="E543" s="97">
        <v>213359</v>
      </c>
    </row>
    <row r="544" spans="1:5" x14ac:dyDescent="0.25">
      <c r="C544" s="10" t="s">
        <v>340</v>
      </c>
      <c r="E544" s="108">
        <f>SUM(E536:E543)</f>
        <v>260464</v>
      </c>
    </row>
    <row r="546" spans="1:6" ht="15.75" x14ac:dyDescent="0.25">
      <c r="A546" s="102" t="s">
        <v>308</v>
      </c>
      <c r="B546" s="102"/>
      <c r="C546" s="113"/>
      <c r="D546" t="s">
        <v>341</v>
      </c>
      <c r="E546" s="114"/>
      <c r="F546" s="103"/>
    </row>
    <row r="547" spans="1:6" ht="18" customHeight="1" x14ac:dyDescent="0.25">
      <c r="A547" s="102" t="s">
        <v>309</v>
      </c>
      <c r="B547" s="102"/>
      <c r="C547" s="113"/>
      <c r="D547" t="s">
        <v>322</v>
      </c>
      <c r="E547" s="114"/>
      <c r="F547" s="103"/>
    </row>
    <row r="548" spans="1:6" s="85" customFormat="1" ht="18" customHeight="1" x14ac:dyDescent="0.25">
      <c r="C548" s="98"/>
      <c r="D548" s="99"/>
    </row>
    <row r="549" spans="1:6" s="85" customFormat="1" ht="17.25" customHeight="1" x14ac:dyDescent="0.25">
      <c r="C549" s="98"/>
      <c r="D549" s="100"/>
    </row>
    <row r="550" spans="1:6" s="85" customFormat="1" x14ac:dyDescent="0.25"/>
  </sheetData>
  <mergeCells count="2">
    <mergeCell ref="A2:D3"/>
    <mergeCell ref="A5:C5"/>
  </mergeCells>
  <pageMargins left="1.25" right="0.75" top="0.45" bottom="0.45" header="0.3" footer="0.3"/>
  <pageSetup paperSize="9" scale="73" orientation="portrait" r:id="rId1"/>
  <rowBreaks count="2" manualBreakCount="2">
    <brk id="422" max="3" man="1"/>
    <brk id="478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F804-4B04-4F41-B28B-7AAEEA19D642}">
  <sheetPr>
    <tabColor rgb="FFFFFF00"/>
  </sheetPr>
  <dimension ref="A1:H540"/>
  <sheetViews>
    <sheetView zoomScale="130" zoomScaleNormal="130" zoomScaleSheetLayoutView="80" workbookViewId="0">
      <pane xSplit="3" ySplit="8" topLeftCell="D431" activePane="bottomRight" state="frozen"/>
      <selection pane="topRight" activeCell="D1" sqref="D1"/>
      <selection pane="bottomLeft" activeCell="A9" sqref="A9"/>
      <selection pane="bottomRight" activeCell="I435" sqref="I435"/>
    </sheetView>
  </sheetViews>
  <sheetFormatPr defaultRowHeight="15" x14ac:dyDescent="0.25"/>
  <cols>
    <col min="1" max="1" width="10.42578125" customWidth="1"/>
    <col min="3" max="3" width="55.7109375" customWidth="1"/>
    <col min="4" max="6" width="15.7109375" customWidth="1"/>
    <col min="7" max="7" width="9.140625" hidden="1" customWidth="1"/>
    <col min="8" max="9" width="9.140625" customWidth="1"/>
  </cols>
  <sheetData>
    <row r="1" spans="1:7" x14ac:dyDescent="0.25">
      <c r="A1" s="120"/>
      <c r="D1" s="104" t="s">
        <v>304</v>
      </c>
      <c r="E1" s="104" t="s">
        <v>304</v>
      </c>
      <c r="F1" s="104" t="s">
        <v>304</v>
      </c>
    </row>
    <row r="2" spans="1:7" ht="15" customHeight="1" x14ac:dyDescent="0.25">
      <c r="A2" s="135" t="s">
        <v>323</v>
      </c>
      <c r="B2" s="135"/>
      <c r="C2" s="135"/>
      <c r="D2" s="135"/>
      <c r="E2" s="135"/>
      <c r="F2" s="135"/>
    </row>
    <row r="3" spans="1:7" ht="18.75" customHeight="1" x14ac:dyDescent="0.25">
      <c r="A3" s="135"/>
      <c r="B3" s="135"/>
      <c r="C3" s="135"/>
      <c r="D3" s="135"/>
      <c r="E3" s="135"/>
      <c r="F3" s="135"/>
    </row>
    <row r="4" spans="1:7" ht="10.5" customHeight="1" x14ac:dyDescent="0.25">
      <c r="A4" s="132"/>
      <c r="B4" s="132"/>
      <c r="C4" s="132"/>
      <c r="D4" s="132"/>
      <c r="E4" s="132"/>
      <c r="F4" s="132"/>
    </row>
    <row r="5" spans="1:7" ht="15" customHeight="1" x14ac:dyDescent="0.4">
      <c r="A5" s="136" t="s">
        <v>159</v>
      </c>
      <c r="B5" s="136"/>
      <c r="C5" s="136"/>
      <c r="D5" s="77"/>
      <c r="E5" s="77"/>
      <c r="F5" s="77"/>
    </row>
    <row r="6" spans="1:7" ht="19.5" customHeight="1" x14ac:dyDescent="0.4">
      <c r="A6" s="1"/>
      <c r="B6" s="8"/>
      <c r="C6" s="8"/>
      <c r="D6" s="89"/>
      <c r="E6" s="89"/>
      <c r="F6" s="89" t="s">
        <v>295</v>
      </c>
    </row>
    <row r="7" spans="1:7" ht="51" x14ac:dyDescent="0.25">
      <c r="A7" s="78" t="s">
        <v>0</v>
      </c>
      <c r="B7" s="78" t="s">
        <v>294</v>
      </c>
      <c r="C7" s="79" t="s">
        <v>1</v>
      </c>
      <c r="D7" s="91" t="s">
        <v>344</v>
      </c>
      <c r="E7" s="91" t="s">
        <v>324</v>
      </c>
      <c r="F7" s="80" t="s">
        <v>319</v>
      </c>
    </row>
    <row r="8" spans="1:7" x14ac:dyDescent="0.25">
      <c r="A8" s="81"/>
      <c r="B8" s="81">
        <v>1</v>
      </c>
      <c r="C8" s="82">
        <v>2</v>
      </c>
      <c r="D8" s="82">
        <v>3</v>
      </c>
      <c r="E8" s="82">
        <v>4</v>
      </c>
      <c r="F8" s="84" t="s">
        <v>275</v>
      </c>
    </row>
    <row r="9" spans="1:7" x14ac:dyDescent="0.25">
      <c r="A9" s="24"/>
      <c r="B9" s="24"/>
      <c r="C9" s="13" t="s">
        <v>2</v>
      </c>
      <c r="D9" s="14">
        <f>D10+D26</f>
        <v>1715936</v>
      </c>
      <c r="E9" s="14">
        <f t="shared" ref="E9:F9" si="0">E10+E26</f>
        <v>1757942</v>
      </c>
      <c r="F9" s="14">
        <f t="shared" si="0"/>
        <v>42006</v>
      </c>
      <c r="G9" s="95">
        <f>F9/D9*100</f>
        <v>2.4479933983551834</v>
      </c>
    </row>
    <row r="10" spans="1:7" x14ac:dyDescent="0.25">
      <c r="A10" s="15"/>
      <c r="B10" s="15"/>
      <c r="C10" s="2" t="s">
        <v>3</v>
      </c>
      <c r="D10" s="16">
        <f>D11</f>
        <v>970544</v>
      </c>
      <c r="E10" s="16">
        <f t="shared" ref="E10:F10" si="1">E11</f>
        <v>1016009</v>
      </c>
      <c r="F10" s="16">
        <f t="shared" si="1"/>
        <v>45465</v>
      </c>
      <c r="G10" s="95">
        <f t="shared" ref="G10:G73" si="2">F10/D10*100</f>
        <v>4.6844862262813436</v>
      </c>
    </row>
    <row r="11" spans="1:7" x14ac:dyDescent="0.25">
      <c r="A11" s="15"/>
      <c r="B11" s="15"/>
      <c r="C11" s="2" t="s">
        <v>173</v>
      </c>
      <c r="D11" s="16">
        <f>D17+D19+D21+D12+D15</f>
        <v>970544</v>
      </c>
      <c r="E11" s="16">
        <f t="shared" ref="E11:F11" si="3">E17+E19+E21+E12+E15</f>
        <v>1016009</v>
      </c>
      <c r="F11" s="16">
        <f t="shared" si="3"/>
        <v>45465</v>
      </c>
      <c r="G11" s="95">
        <f t="shared" si="2"/>
        <v>4.6844862262813436</v>
      </c>
    </row>
    <row r="12" spans="1:7" x14ac:dyDescent="0.25">
      <c r="A12" s="15" t="s">
        <v>267</v>
      </c>
      <c r="B12" s="15"/>
      <c r="C12" s="2" t="s">
        <v>257</v>
      </c>
      <c r="D12" s="16">
        <f t="shared" ref="D12:F13" si="4">D13</f>
        <v>912</v>
      </c>
      <c r="E12" s="16">
        <f t="shared" si="4"/>
        <v>1257</v>
      </c>
      <c r="F12" s="16">
        <f t="shared" si="4"/>
        <v>345</v>
      </c>
      <c r="G12" s="95">
        <f t="shared" si="2"/>
        <v>37.828947368421048</v>
      </c>
    </row>
    <row r="13" spans="1:7" x14ac:dyDescent="0.25">
      <c r="A13" s="15" t="s">
        <v>266</v>
      </c>
      <c r="B13" s="15"/>
      <c r="C13" s="2" t="s">
        <v>258</v>
      </c>
      <c r="D13" s="16">
        <f t="shared" si="4"/>
        <v>912</v>
      </c>
      <c r="E13" s="16">
        <f t="shared" si="4"/>
        <v>1257</v>
      </c>
      <c r="F13" s="16">
        <f t="shared" si="4"/>
        <v>345</v>
      </c>
      <c r="G13" s="95">
        <f t="shared" si="2"/>
        <v>37.828947368421048</v>
      </c>
    </row>
    <row r="14" spans="1:7" ht="25.5" x14ac:dyDescent="0.25">
      <c r="A14" s="55" t="s">
        <v>265</v>
      </c>
      <c r="B14" s="55"/>
      <c r="C14" s="74" t="s">
        <v>259</v>
      </c>
      <c r="D14" s="29">
        <f>391+521</f>
        <v>912</v>
      </c>
      <c r="E14" s="86">
        <f>'[1]BVC 2022 '!D14</f>
        <v>1257</v>
      </c>
      <c r="F14" s="101">
        <f>E14-D14</f>
        <v>345</v>
      </c>
      <c r="G14" s="95">
        <f t="shared" si="2"/>
        <v>37.828947368421048</v>
      </c>
    </row>
    <row r="15" spans="1:7" x14ac:dyDescent="0.25">
      <c r="A15" s="4" t="s">
        <v>290</v>
      </c>
      <c r="B15" s="15"/>
      <c r="C15" s="2" t="s">
        <v>292</v>
      </c>
      <c r="D15" s="16">
        <f>D16</f>
        <v>113</v>
      </c>
      <c r="E15" s="16">
        <f t="shared" ref="E15:F15" si="5">E16</f>
        <v>113</v>
      </c>
      <c r="F15" s="16">
        <f t="shared" si="5"/>
        <v>0</v>
      </c>
      <c r="G15" s="95">
        <f t="shared" si="2"/>
        <v>0</v>
      </c>
    </row>
    <row r="16" spans="1:7" x14ac:dyDescent="0.25">
      <c r="A16" s="50" t="s">
        <v>291</v>
      </c>
      <c r="B16" s="18"/>
      <c r="C16" s="5" t="s">
        <v>292</v>
      </c>
      <c r="D16" s="86">
        <v>113</v>
      </c>
      <c r="E16" s="86">
        <f>'[1]BVC 2022 '!D16</f>
        <v>113</v>
      </c>
      <c r="F16" s="101">
        <f>E16-D16</f>
        <v>0</v>
      </c>
      <c r="G16" s="95">
        <f t="shared" si="2"/>
        <v>0</v>
      </c>
    </row>
    <row r="17" spans="1:7" x14ac:dyDescent="0.25">
      <c r="A17" s="4" t="s">
        <v>4</v>
      </c>
      <c r="B17" s="15"/>
      <c r="C17" s="2" t="s">
        <v>174</v>
      </c>
      <c r="D17" s="16">
        <f t="shared" ref="D17:F17" si="6">D18</f>
        <v>959119</v>
      </c>
      <c r="E17" s="16">
        <f t="shared" si="6"/>
        <v>1004898</v>
      </c>
      <c r="F17" s="16">
        <f t="shared" si="6"/>
        <v>45779</v>
      </c>
      <c r="G17" s="95">
        <f t="shared" si="2"/>
        <v>4.7730260791413786</v>
      </c>
    </row>
    <row r="18" spans="1:7" x14ac:dyDescent="0.25">
      <c r="A18" s="50" t="s">
        <v>5</v>
      </c>
      <c r="B18" s="18"/>
      <c r="C18" s="5" t="s">
        <v>175</v>
      </c>
      <c r="D18" s="88">
        <f>927712+31520-113</f>
        <v>959119</v>
      </c>
      <c r="E18" s="86">
        <f>'[1]BVC 2022 '!D18</f>
        <v>1004898</v>
      </c>
      <c r="F18" s="101">
        <f>E18-D18</f>
        <v>45779</v>
      </c>
      <c r="G18" s="95">
        <f t="shared" si="2"/>
        <v>4.7730260791413786</v>
      </c>
    </row>
    <row r="19" spans="1:7" x14ac:dyDescent="0.25">
      <c r="A19" s="4" t="s">
        <v>6</v>
      </c>
      <c r="B19" s="15"/>
      <c r="C19" s="2" t="s">
        <v>176</v>
      </c>
      <c r="D19" s="16">
        <f t="shared" ref="D19:F19" si="7">D20</f>
        <v>1018</v>
      </c>
      <c r="E19" s="16">
        <f t="shared" si="7"/>
        <v>359</v>
      </c>
      <c r="F19" s="16">
        <f t="shared" si="7"/>
        <v>-659</v>
      </c>
      <c r="G19" s="95">
        <f t="shared" si="2"/>
        <v>-64.734774066797641</v>
      </c>
    </row>
    <row r="20" spans="1:7" x14ac:dyDescent="0.25">
      <c r="A20" s="50" t="s">
        <v>7</v>
      </c>
      <c r="B20" s="18"/>
      <c r="C20" s="5" t="s">
        <v>177</v>
      </c>
      <c r="D20" s="17">
        <v>1018</v>
      </c>
      <c r="E20" s="86">
        <f>'[1]BVC 2022 '!D20</f>
        <v>359</v>
      </c>
      <c r="F20" s="101">
        <f>E20-D20</f>
        <v>-659</v>
      </c>
      <c r="G20" s="95">
        <f t="shared" si="2"/>
        <v>-64.734774066797641</v>
      </c>
    </row>
    <row r="21" spans="1:7" x14ac:dyDescent="0.25">
      <c r="A21" s="4" t="s">
        <v>8</v>
      </c>
      <c r="B21" s="15"/>
      <c r="C21" s="2" t="s">
        <v>9</v>
      </c>
      <c r="D21" s="3">
        <f>D22+D23</f>
        <v>9382</v>
      </c>
      <c r="E21" s="3">
        <f t="shared" ref="E21:F21" si="8">E22+E23</f>
        <v>9382</v>
      </c>
      <c r="F21" s="3">
        <f t="shared" si="8"/>
        <v>0</v>
      </c>
      <c r="G21" s="95">
        <f t="shared" si="2"/>
        <v>0</v>
      </c>
    </row>
    <row r="22" spans="1:7" hidden="1" x14ac:dyDescent="0.25">
      <c r="A22" s="75" t="s">
        <v>264</v>
      </c>
      <c r="B22" s="55"/>
      <c r="C22" s="74" t="s">
        <v>260</v>
      </c>
      <c r="D22" s="76"/>
      <c r="E22" s="76"/>
      <c r="F22" s="76"/>
      <c r="G22" s="95" t="e">
        <f t="shared" si="2"/>
        <v>#DIV/0!</v>
      </c>
    </row>
    <row r="23" spans="1:7" x14ac:dyDescent="0.25">
      <c r="A23" s="4" t="s">
        <v>10</v>
      </c>
      <c r="B23" s="15"/>
      <c r="C23" s="2" t="s">
        <v>11</v>
      </c>
      <c r="D23" s="16">
        <f>D24+D25</f>
        <v>9382</v>
      </c>
      <c r="E23" s="16">
        <f t="shared" ref="E23:F23" si="9">E24+E25</f>
        <v>9382</v>
      </c>
      <c r="F23" s="16">
        <f t="shared" si="9"/>
        <v>0</v>
      </c>
      <c r="G23" s="95">
        <f t="shared" si="2"/>
        <v>0</v>
      </c>
    </row>
    <row r="24" spans="1:7" ht="25.5" x14ac:dyDescent="0.25">
      <c r="A24" s="50"/>
      <c r="B24" s="18"/>
      <c r="C24" s="5" t="s">
        <v>178</v>
      </c>
      <c r="D24" s="88">
        <v>7960</v>
      </c>
      <c r="E24" s="86">
        <f>'[1]BVC 2022 '!D24</f>
        <v>7960</v>
      </c>
      <c r="F24" s="101">
        <f>E24-D24</f>
        <v>0</v>
      </c>
      <c r="G24" s="95">
        <f t="shared" si="2"/>
        <v>0</v>
      </c>
    </row>
    <row r="25" spans="1:7" x14ac:dyDescent="0.25">
      <c r="A25" s="50"/>
      <c r="B25" s="18"/>
      <c r="C25" s="5" t="s">
        <v>179</v>
      </c>
      <c r="D25" s="17">
        <v>1422</v>
      </c>
      <c r="E25" s="86">
        <f>'[1]BVC 2022 '!D25</f>
        <v>1422</v>
      </c>
      <c r="F25" s="101">
        <f>E25-D25</f>
        <v>0</v>
      </c>
      <c r="G25" s="95">
        <f t="shared" si="2"/>
        <v>0</v>
      </c>
    </row>
    <row r="26" spans="1:7" x14ac:dyDescent="0.25">
      <c r="A26" s="15"/>
      <c r="B26" s="15"/>
      <c r="C26" s="19" t="s">
        <v>180</v>
      </c>
      <c r="D26" s="16">
        <f>D27+D41+D46</f>
        <v>745392</v>
      </c>
      <c r="E26" s="16">
        <f t="shared" ref="E26:F26" si="10">E27+E41+E46</f>
        <v>741933</v>
      </c>
      <c r="F26" s="16">
        <f t="shared" si="10"/>
        <v>-3459</v>
      </c>
      <c r="G26" s="95">
        <f t="shared" si="2"/>
        <v>-0.46405113014360228</v>
      </c>
    </row>
    <row r="27" spans="1:7" x14ac:dyDescent="0.25">
      <c r="A27" s="4" t="s">
        <v>12</v>
      </c>
      <c r="B27" s="15"/>
      <c r="C27" s="2" t="s">
        <v>181</v>
      </c>
      <c r="D27" s="16">
        <f>D28+D36+D37</f>
        <v>720611</v>
      </c>
      <c r="E27" s="16">
        <f t="shared" ref="E27:F27" si="11">E28+E36+E37</f>
        <v>720611</v>
      </c>
      <c r="F27" s="16">
        <f t="shared" si="11"/>
        <v>0</v>
      </c>
      <c r="G27" s="95">
        <f t="shared" si="2"/>
        <v>0</v>
      </c>
    </row>
    <row r="28" spans="1:7" ht="25.5" x14ac:dyDescent="0.25">
      <c r="A28" s="4" t="s">
        <v>13</v>
      </c>
      <c r="B28" s="15"/>
      <c r="C28" s="2" t="s">
        <v>182</v>
      </c>
      <c r="D28" s="16">
        <f>D29+D31+D35+D30+D34</f>
        <v>161725</v>
      </c>
      <c r="E28" s="16">
        <f t="shared" ref="E28:F28" si="12">E29+E31+E35+E30+E34</f>
        <v>161725</v>
      </c>
      <c r="F28" s="16">
        <f t="shared" si="12"/>
        <v>0</v>
      </c>
      <c r="G28" s="95">
        <f t="shared" si="2"/>
        <v>0</v>
      </c>
    </row>
    <row r="29" spans="1:7" ht="25.5" x14ac:dyDescent="0.25">
      <c r="A29" s="18"/>
      <c r="B29" s="18"/>
      <c r="C29" s="5" t="s">
        <v>183</v>
      </c>
      <c r="D29" s="88">
        <v>900</v>
      </c>
      <c r="E29" s="86">
        <f>'[1]BVC 2022 '!D29</f>
        <v>900</v>
      </c>
      <c r="F29" s="101">
        <f t="shared" ref="F29:F30" si="13">E29-D29</f>
        <v>0</v>
      </c>
      <c r="G29" s="95">
        <f t="shared" si="2"/>
        <v>0</v>
      </c>
    </row>
    <row r="30" spans="1:7" x14ac:dyDescent="0.25">
      <c r="A30" s="18"/>
      <c r="B30" s="18"/>
      <c r="C30" s="5" t="s">
        <v>184</v>
      </c>
      <c r="D30" s="17">
        <v>38500</v>
      </c>
      <c r="E30" s="86">
        <f>'[1]BVC 2022 '!D30</f>
        <v>38500</v>
      </c>
      <c r="F30" s="101">
        <f t="shared" si="13"/>
        <v>0</v>
      </c>
      <c r="G30" s="95">
        <f t="shared" si="2"/>
        <v>0</v>
      </c>
    </row>
    <row r="31" spans="1:7" x14ac:dyDescent="0.25">
      <c r="A31" s="15"/>
      <c r="B31" s="15"/>
      <c r="C31" s="2" t="s">
        <v>185</v>
      </c>
      <c r="D31" s="16">
        <f t="shared" ref="D31:F31" si="14">D32+D33</f>
        <v>122100</v>
      </c>
      <c r="E31" s="16">
        <f t="shared" si="14"/>
        <v>122100</v>
      </c>
      <c r="F31" s="16">
        <f t="shared" si="14"/>
        <v>0</v>
      </c>
      <c r="G31" s="95">
        <f t="shared" si="2"/>
        <v>0</v>
      </c>
    </row>
    <row r="32" spans="1:7" x14ac:dyDescent="0.25">
      <c r="A32" s="18"/>
      <c r="B32" s="18"/>
      <c r="C32" s="5" t="s">
        <v>136</v>
      </c>
      <c r="D32" s="88">
        <f>151443-29343</f>
        <v>122100</v>
      </c>
      <c r="E32" s="86">
        <f>'[1]BVC 2022 '!D32</f>
        <v>122100</v>
      </c>
      <c r="F32" s="101">
        <f t="shared" ref="F32:F33" si="15">E32-D32</f>
        <v>0</v>
      </c>
      <c r="G32" s="95">
        <f t="shared" si="2"/>
        <v>0</v>
      </c>
    </row>
    <row r="33" spans="1:7" x14ac:dyDescent="0.25">
      <c r="A33" s="18"/>
      <c r="B33" s="18"/>
      <c r="C33" s="5" t="s">
        <v>14</v>
      </c>
      <c r="D33" s="88">
        <f>657-657</f>
        <v>0</v>
      </c>
      <c r="E33" s="86">
        <f>'[1]BVC 2022 '!D33</f>
        <v>0</v>
      </c>
      <c r="F33" s="101">
        <f t="shared" si="15"/>
        <v>0</v>
      </c>
      <c r="G33" s="95" t="e">
        <f t="shared" si="2"/>
        <v>#DIV/0!</v>
      </c>
    </row>
    <row r="34" spans="1:7" hidden="1" x14ac:dyDescent="0.25">
      <c r="A34" s="6"/>
      <c r="B34" s="6"/>
      <c r="C34" s="6" t="s">
        <v>293</v>
      </c>
      <c r="D34" s="87"/>
      <c r="E34" s="87"/>
      <c r="F34" s="87"/>
      <c r="G34" s="95" t="e">
        <f t="shared" si="2"/>
        <v>#DIV/0!</v>
      </c>
    </row>
    <row r="35" spans="1:7" x14ac:dyDescent="0.25">
      <c r="A35" s="28"/>
      <c r="B35" s="28"/>
      <c r="C35" s="6" t="s">
        <v>186</v>
      </c>
      <c r="D35" s="16">
        <v>225</v>
      </c>
      <c r="E35" s="16">
        <f>'[1]BVC 2022 '!D35</f>
        <v>225</v>
      </c>
      <c r="F35" s="16">
        <f t="shared" ref="F35:F36" si="16">E35-D35</f>
        <v>0</v>
      </c>
      <c r="G35" s="95">
        <f t="shared" si="2"/>
        <v>0</v>
      </c>
    </row>
    <row r="36" spans="1:7" ht="38.25" x14ac:dyDescent="0.25">
      <c r="A36" s="7" t="s">
        <v>15</v>
      </c>
      <c r="B36" s="28"/>
      <c r="C36" s="6" t="s">
        <v>187</v>
      </c>
      <c r="D36" s="16">
        <f>964870-35557-400000</f>
        <v>529313</v>
      </c>
      <c r="E36" s="16">
        <f>'[1]BVC 2022 '!D36</f>
        <v>529313</v>
      </c>
      <c r="F36" s="16">
        <f t="shared" si="16"/>
        <v>0</v>
      </c>
      <c r="G36" s="95">
        <f t="shared" si="2"/>
        <v>0</v>
      </c>
    </row>
    <row r="37" spans="1:7" x14ac:dyDescent="0.25">
      <c r="A37" s="7" t="s">
        <v>325</v>
      </c>
      <c r="B37" s="28"/>
      <c r="C37" s="6" t="s">
        <v>326</v>
      </c>
      <c r="D37" s="16">
        <f>SUM(D38:D40)</f>
        <v>29573</v>
      </c>
      <c r="E37" s="16">
        <f t="shared" ref="E37:F37" si="17">SUM(E38:E40)</f>
        <v>29573</v>
      </c>
      <c r="F37" s="16">
        <f t="shared" si="17"/>
        <v>0</v>
      </c>
      <c r="G37" s="95">
        <f t="shared" si="2"/>
        <v>0</v>
      </c>
    </row>
    <row r="38" spans="1:7" x14ac:dyDescent="0.25">
      <c r="A38" s="121" t="s">
        <v>327</v>
      </c>
      <c r="B38" s="122"/>
      <c r="C38" s="123" t="s">
        <v>328</v>
      </c>
      <c r="D38" s="86">
        <v>25036</v>
      </c>
      <c r="E38" s="86">
        <f>'[1]BVC 2022 '!D38</f>
        <v>25036</v>
      </c>
      <c r="F38" s="101">
        <f t="shared" ref="F38:F40" si="18">E38-D38</f>
        <v>0</v>
      </c>
      <c r="G38" s="95">
        <f t="shared" si="2"/>
        <v>0</v>
      </c>
    </row>
    <row r="39" spans="1:7" x14ac:dyDescent="0.25">
      <c r="A39" s="121" t="s">
        <v>329</v>
      </c>
      <c r="B39" s="122"/>
      <c r="C39" s="123" t="s">
        <v>330</v>
      </c>
      <c r="D39" s="86"/>
      <c r="E39" s="86">
        <f>'[1]BVC 2022 '!D39</f>
        <v>0</v>
      </c>
      <c r="F39" s="101">
        <f t="shared" si="18"/>
        <v>0</v>
      </c>
      <c r="G39" s="95" t="e">
        <f t="shared" si="2"/>
        <v>#DIV/0!</v>
      </c>
    </row>
    <row r="40" spans="1:7" x14ac:dyDescent="0.25">
      <c r="A40" s="121" t="s">
        <v>331</v>
      </c>
      <c r="B40" s="122"/>
      <c r="C40" s="123" t="s">
        <v>332</v>
      </c>
      <c r="D40" s="86">
        <v>4537</v>
      </c>
      <c r="E40" s="86">
        <f>'[1]BVC 2022 '!D40</f>
        <v>4537</v>
      </c>
      <c r="F40" s="101">
        <f t="shared" si="18"/>
        <v>0</v>
      </c>
      <c r="G40" s="95">
        <f t="shared" si="2"/>
        <v>0</v>
      </c>
    </row>
    <row r="41" spans="1:7" ht="25.5" x14ac:dyDescent="0.25">
      <c r="A41" s="4" t="s">
        <v>16</v>
      </c>
      <c r="B41" s="15"/>
      <c r="C41" s="19" t="s">
        <v>188</v>
      </c>
      <c r="D41" s="16">
        <f>D42+D44</f>
        <v>7</v>
      </c>
      <c r="E41" s="16">
        <f t="shared" ref="E41:F41" si="19">E42+E44</f>
        <v>7</v>
      </c>
      <c r="F41" s="16">
        <f t="shared" si="19"/>
        <v>0</v>
      </c>
      <c r="G41" s="95">
        <f t="shared" si="2"/>
        <v>0</v>
      </c>
    </row>
    <row r="42" spans="1:7" hidden="1" x14ac:dyDescent="0.25">
      <c r="A42" s="4" t="s">
        <v>17</v>
      </c>
      <c r="B42" s="15"/>
      <c r="C42" s="19" t="s">
        <v>189</v>
      </c>
      <c r="D42" s="16">
        <f>SUM(D43:D43)</f>
        <v>0</v>
      </c>
      <c r="E42" s="16">
        <f t="shared" ref="E42:F42" si="20">SUM(E43:E43)</f>
        <v>0</v>
      </c>
      <c r="F42" s="16">
        <f t="shared" si="20"/>
        <v>0</v>
      </c>
      <c r="G42" s="95" t="e">
        <f t="shared" si="2"/>
        <v>#DIV/0!</v>
      </c>
    </row>
    <row r="43" spans="1:7" hidden="1" x14ac:dyDescent="0.25">
      <c r="A43" s="50" t="s">
        <v>18</v>
      </c>
      <c r="B43" s="18"/>
      <c r="C43" s="5" t="s">
        <v>19</v>
      </c>
      <c r="D43" s="17">
        <v>0</v>
      </c>
      <c r="E43" s="86">
        <f>'[1]BVC 2022 '!D43</f>
        <v>0</v>
      </c>
      <c r="F43" s="101">
        <f t="shared" ref="F43" si="21">E43-D43</f>
        <v>0</v>
      </c>
      <c r="G43" s="95" t="e">
        <f t="shared" si="2"/>
        <v>#DIV/0!</v>
      </c>
    </row>
    <row r="44" spans="1:7" x14ac:dyDescent="0.25">
      <c r="A44" s="4" t="s">
        <v>20</v>
      </c>
      <c r="B44" s="15"/>
      <c r="C44" s="19" t="s">
        <v>191</v>
      </c>
      <c r="D44" s="16">
        <f t="shared" ref="D44:F44" si="22">D45</f>
        <v>7</v>
      </c>
      <c r="E44" s="16">
        <f t="shared" si="22"/>
        <v>7</v>
      </c>
      <c r="F44" s="16">
        <f t="shared" si="22"/>
        <v>0</v>
      </c>
      <c r="G44" s="95">
        <f t="shared" si="2"/>
        <v>0</v>
      </c>
    </row>
    <row r="45" spans="1:7" x14ac:dyDescent="0.25">
      <c r="A45" s="50" t="s">
        <v>310</v>
      </c>
      <c r="B45" s="18"/>
      <c r="C45" s="5" t="s">
        <v>19</v>
      </c>
      <c r="D45" s="17">
        <v>7</v>
      </c>
      <c r="E45" s="86">
        <f>'[1]BVC 2022 '!D45</f>
        <v>7</v>
      </c>
      <c r="F45" s="101">
        <f t="shared" ref="F45" si="23">E45-D45</f>
        <v>0</v>
      </c>
      <c r="G45" s="95">
        <f t="shared" si="2"/>
        <v>0</v>
      </c>
    </row>
    <row r="46" spans="1:7" ht="25.5" x14ac:dyDescent="0.25">
      <c r="A46" s="4" t="s">
        <v>22</v>
      </c>
      <c r="B46" s="15"/>
      <c r="C46" s="19" t="s">
        <v>192</v>
      </c>
      <c r="D46" s="16">
        <f>D55+D47+D61+D51+D59</f>
        <v>24774</v>
      </c>
      <c r="E46" s="16">
        <f t="shared" ref="E46:F46" si="24">E55+E47+E61+E51+E59</f>
        <v>21315</v>
      </c>
      <c r="F46" s="16">
        <f t="shared" si="24"/>
        <v>-3459</v>
      </c>
      <c r="G46" s="95">
        <f t="shared" si="2"/>
        <v>-13.96221845483168</v>
      </c>
    </row>
    <row r="47" spans="1:7" x14ac:dyDescent="0.25">
      <c r="A47" s="4" t="s">
        <v>23</v>
      </c>
      <c r="B47" s="15"/>
      <c r="C47" s="2" t="s">
        <v>193</v>
      </c>
      <c r="D47" s="16">
        <f>SUM(D48:D50)</f>
        <v>2692</v>
      </c>
      <c r="E47" s="16">
        <f t="shared" ref="E47:F47" si="25">SUM(E48:E50)</f>
        <v>3008</v>
      </c>
      <c r="F47" s="16">
        <f t="shared" si="25"/>
        <v>316</v>
      </c>
      <c r="G47" s="95">
        <f t="shared" si="2"/>
        <v>11.738484398216938</v>
      </c>
    </row>
    <row r="48" spans="1:7" x14ac:dyDescent="0.25">
      <c r="A48" s="50" t="s">
        <v>24</v>
      </c>
      <c r="B48" s="18"/>
      <c r="C48" s="5" t="s">
        <v>21</v>
      </c>
      <c r="D48" s="17">
        <v>1713</v>
      </c>
      <c r="E48" s="86">
        <f>'[1]BVC 2022 '!D48</f>
        <v>2537</v>
      </c>
      <c r="F48" s="101">
        <f t="shared" ref="F48:F50" si="26">E48-D48</f>
        <v>824</v>
      </c>
      <c r="G48" s="95">
        <f t="shared" si="2"/>
        <v>48.102743724460012</v>
      </c>
    </row>
    <row r="49" spans="1:7" x14ac:dyDescent="0.25">
      <c r="A49" s="50" t="s">
        <v>262</v>
      </c>
      <c r="B49" s="18"/>
      <c r="C49" s="5" t="s">
        <v>261</v>
      </c>
      <c r="D49" s="17">
        <v>979</v>
      </c>
      <c r="E49" s="86">
        <f>'[1]BVC 2022 '!D49</f>
        <v>471</v>
      </c>
      <c r="F49" s="101">
        <f t="shared" si="26"/>
        <v>-508</v>
      </c>
      <c r="G49" s="95">
        <f t="shared" si="2"/>
        <v>-51.889683350357508</v>
      </c>
    </row>
    <row r="50" spans="1:7" x14ac:dyDescent="0.25">
      <c r="A50" s="50" t="s">
        <v>263</v>
      </c>
      <c r="B50" s="18"/>
      <c r="C50" s="5" t="s">
        <v>190</v>
      </c>
      <c r="D50" s="17"/>
      <c r="E50" s="86">
        <f>'[1]BVC 2022 '!D50</f>
        <v>0</v>
      </c>
      <c r="F50" s="101">
        <f t="shared" si="26"/>
        <v>0</v>
      </c>
      <c r="G50" s="95" t="e">
        <f t="shared" si="2"/>
        <v>#DIV/0!</v>
      </c>
    </row>
    <row r="51" spans="1:7" x14ac:dyDescent="0.25">
      <c r="A51" s="4" t="s">
        <v>284</v>
      </c>
      <c r="B51" s="15"/>
      <c r="C51" s="2" t="s">
        <v>286</v>
      </c>
      <c r="D51" s="16">
        <f>SUM(D52:D54)</f>
        <v>6918</v>
      </c>
      <c r="E51" s="16">
        <f t="shared" ref="E51:F51" si="27">SUM(E52:E54)</f>
        <v>3143</v>
      </c>
      <c r="F51" s="16">
        <f t="shared" si="27"/>
        <v>-3775</v>
      </c>
      <c r="G51" s="95">
        <f t="shared" si="2"/>
        <v>-54.567794160161895</v>
      </c>
    </row>
    <row r="52" spans="1:7" x14ac:dyDescent="0.25">
      <c r="A52" s="50" t="s">
        <v>285</v>
      </c>
      <c r="B52" s="18"/>
      <c r="C52" s="5" t="s">
        <v>21</v>
      </c>
      <c r="D52" s="17">
        <v>50</v>
      </c>
      <c r="E52" s="86">
        <f>'[1]BVC 2022 '!D52</f>
        <v>1842</v>
      </c>
      <c r="F52" s="101">
        <f t="shared" ref="F52:F54" si="28">E52-D52</f>
        <v>1792</v>
      </c>
      <c r="G52" s="95">
        <f t="shared" si="2"/>
        <v>3584.0000000000005</v>
      </c>
    </row>
    <row r="53" spans="1:7" x14ac:dyDescent="0.25">
      <c r="A53" s="50" t="s">
        <v>296</v>
      </c>
      <c r="B53" s="18"/>
      <c r="C53" s="5" t="s">
        <v>261</v>
      </c>
      <c r="D53" s="17">
        <v>6868</v>
      </c>
      <c r="E53" s="86">
        <f>'[1]BVC 2022 '!D53</f>
        <v>1301</v>
      </c>
      <c r="F53" s="101">
        <f t="shared" si="28"/>
        <v>-5567</v>
      </c>
      <c r="G53" s="95">
        <f t="shared" si="2"/>
        <v>-81.057076295864888</v>
      </c>
    </row>
    <row r="54" spans="1:7" x14ac:dyDescent="0.25">
      <c r="A54" s="50" t="s">
        <v>297</v>
      </c>
      <c r="B54" s="18"/>
      <c r="C54" s="5" t="s">
        <v>190</v>
      </c>
      <c r="D54" s="17"/>
      <c r="E54" s="86">
        <f>'[1]BVC 2022 '!D54</f>
        <v>0</v>
      </c>
      <c r="F54" s="101">
        <f t="shared" si="28"/>
        <v>0</v>
      </c>
      <c r="G54" s="95" t="e">
        <f t="shared" si="2"/>
        <v>#DIV/0!</v>
      </c>
    </row>
    <row r="55" spans="1:7" x14ac:dyDescent="0.25">
      <c r="A55" s="4" t="s">
        <v>25</v>
      </c>
      <c r="B55" s="15"/>
      <c r="C55" s="2" t="s">
        <v>26</v>
      </c>
      <c r="D55" s="16">
        <f>SUM(D56:D58)</f>
        <v>4980</v>
      </c>
      <c r="E55" s="16">
        <f t="shared" ref="E55:F55" si="29">SUM(E56:E58)</f>
        <v>4980</v>
      </c>
      <c r="F55" s="16">
        <f t="shared" si="29"/>
        <v>0</v>
      </c>
      <c r="G55" s="95">
        <f t="shared" si="2"/>
        <v>0</v>
      </c>
    </row>
    <row r="56" spans="1:7" x14ac:dyDescent="0.25">
      <c r="A56" s="50" t="s">
        <v>287</v>
      </c>
      <c r="B56" s="18"/>
      <c r="C56" s="5" t="s">
        <v>21</v>
      </c>
      <c r="D56" s="17"/>
      <c r="E56" s="86">
        <f>'[1]BVC 2022 '!D56</f>
        <v>0</v>
      </c>
      <c r="F56" s="101">
        <f t="shared" ref="F56:F58" si="30">E56-D56</f>
        <v>0</v>
      </c>
      <c r="G56" s="95" t="e">
        <f t="shared" si="2"/>
        <v>#DIV/0!</v>
      </c>
    </row>
    <row r="57" spans="1:7" x14ac:dyDescent="0.25">
      <c r="A57" s="50" t="s">
        <v>288</v>
      </c>
      <c r="B57" s="18"/>
      <c r="C57" s="5" t="s">
        <v>261</v>
      </c>
      <c r="D57" s="17">
        <v>4980</v>
      </c>
      <c r="E57" s="86">
        <f>'[1]BVC 2022 '!D57</f>
        <v>4980</v>
      </c>
      <c r="F57" s="101">
        <f t="shared" si="30"/>
        <v>0</v>
      </c>
      <c r="G57" s="95">
        <f t="shared" si="2"/>
        <v>0</v>
      </c>
    </row>
    <row r="58" spans="1:7" x14ac:dyDescent="0.25">
      <c r="A58" s="50" t="s">
        <v>27</v>
      </c>
      <c r="B58" s="18"/>
      <c r="C58" s="5" t="s">
        <v>190</v>
      </c>
      <c r="D58" s="17"/>
      <c r="E58" s="86">
        <f>'[1]BVC 2022 '!D58</f>
        <v>0</v>
      </c>
      <c r="F58" s="101">
        <f t="shared" si="30"/>
        <v>0</v>
      </c>
      <c r="G58" s="95" t="e">
        <f t="shared" si="2"/>
        <v>#DIV/0!</v>
      </c>
    </row>
    <row r="59" spans="1:7" x14ac:dyDescent="0.25">
      <c r="A59" s="92" t="s">
        <v>305</v>
      </c>
      <c r="B59" s="93"/>
      <c r="C59" s="94" t="s">
        <v>299</v>
      </c>
      <c r="D59" s="16">
        <f>SUM(D60)</f>
        <v>381</v>
      </c>
      <c r="E59" s="16">
        <f t="shared" ref="E59:F59" si="31">SUM(E60)</f>
        <v>381</v>
      </c>
      <c r="F59" s="16">
        <f t="shared" si="31"/>
        <v>0</v>
      </c>
      <c r="G59" s="95">
        <f t="shared" si="2"/>
        <v>0</v>
      </c>
    </row>
    <row r="60" spans="1:7" x14ac:dyDescent="0.25">
      <c r="A60" s="105" t="s">
        <v>306</v>
      </c>
      <c r="B60" s="106"/>
      <c r="C60" s="107" t="s">
        <v>190</v>
      </c>
      <c r="D60" s="17">
        <v>381</v>
      </c>
      <c r="E60" s="86">
        <f>'[1]BVC 2022 '!D60</f>
        <v>381</v>
      </c>
      <c r="F60" s="101">
        <f t="shared" ref="F60" si="32">E60-D60</f>
        <v>0</v>
      </c>
      <c r="G60" s="95">
        <f t="shared" si="2"/>
        <v>0</v>
      </c>
    </row>
    <row r="61" spans="1:7" x14ac:dyDescent="0.25">
      <c r="A61" s="4" t="s">
        <v>28</v>
      </c>
      <c r="B61" s="15"/>
      <c r="C61" s="2" t="s">
        <v>191</v>
      </c>
      <c r="D61" s="16">
        <f>SUM(D62:D64)</f>
        <v>9803</v>
      </c>
      <c r="E61" s="16">
        <f t="shared" ref="E61:F61" si="33">SUM(E62:E64)</f>
        <v>9803</v>
      </c>
      <c r="F61" s="16">
        <f t="shared" si="33"/>
        <v>0</v>
      </c>
      <c r="G61" s="95">
        <f t="shared" si="2"/>
        <v>0</v>
      </c>
    </row>
    <row r="62" spans="1:7" x14ac:dyDescent="0.25">
      <c r="A62" s="50" t="s">
        <v>289</v>
      </c>
      <c r="B62" s="18"/>
      <c r="C62" s="5" t="s">
        <v>21</v>
      </c>
      <c r="D62" s="29">
        <v>120</v>
      </c>
      <c r="E62" s="86">
        <f>'[1]BVC 2022 '!D62</f>
        <v>120</v>
      </c>
      <c r="F62" s="101">
        <f t="shared" ref="F62:F64" si="34">E62-D62</f>
        <v>0</v>
      </c>
      <c r="G62" s="95">
        <f t="shared" si="2"/>
        <v>0</v>
      </c>
    </row>
    <row r="63" spans="1:7" x14ac:dyDescent="0.25">
      <c r="A63" s="50" t="s">
        <v>298</v>
      </c>
      <c r="B63" s="18"/>
      <c r="C63" s="5" t="s">
        <v>261</v>
      </c>
      <c r="D63" s="17">
        <v>9665</v>
      </c>
      <c r="E63" s="86">
        <f>'[1]BVC 2022 '!D63</f>
        <v>9665</v>
      </c>
      <c r="F63" s="101">
        <f t="shared" si="34"/>
        <v>0</v>
      </c>
      <c r="G63" s="95">
        <f t="shared" si="2"/>
        <v>0</v>
      </c>
    </row>
    <row r="64" spans="1:7" x14ac:dyDescent="0.25">
      <c r="A64" s="50" t="s">
        <v>29</v>
      </c>
      <c r="B64" s="18"/>
      <c r="C64" s="5" t="s">
        <v>190</v>
      </c>
      <c r="D64" s="17">
        <v>18</v>
      </c>
      <c r="E64" s="86">
        <f>'[1]BVC 2022 '!D64</f>
        <v>18</v>
      </c>
      <c r="F64" s="101">
        <f t="shared" si="34"/>
        <v>0</v>
      </c>
      <c r="G64" s="95">
        <f t="shared" si="2"/>
        <v>0</v>
      </c>
    </row>
    <row r="65" spans="1:7" x14ac:dyDescent="0.25">
      <c r="A65" s="24"/>
      <c r="B65" s="24"/>
      <c r="C65" s="13" t="s">
        <v>31</v>
      </c>
      <c r="D65" s="14"/>
      <c r="E65" s="14"/>
      <c r="F65" s="14"/>
      <c r="G65" s="95" t="e">
        <f t="shared" si="2"/>
        <v>#DIV/0!</v>
      </c>
    </row>
    <row r="66" spans="1:7" x14ac:dyDescent="0.25">
      <c r="A66" s="24"/>
      <c r="B66" s="24" t="s">
        <v>194</v>
      </c>
      <c r="C66" s="13" t="s">
        <v>195</v>
      </c>
      <c r="D66" s="14">
        <f>D69+D96</f>
        <v>5331820</v>
      </c>
      <c r="E66" s="14">
        <f t="shared" ref="E66:F67" si="35">E69+E96</f>
        <v>5409834</v>
      </c>
      <c r="F66" s="14">
        <f t="shared" si="35"/>
        <v>78014</v>
      </c>
      <c r="G66" s="95">
        <f t="shared" si="2"/>
        <v>1.4631776766657538</v>
      </c>
    </row>
    <row r="67" spans="1:7" x14ac:dyDescent="0.25">
      <c r="A67" s="24"/>
      <c r="B67" s="24" t="s">
        <v>196</v>
      </c>
      <c r="C67" s="13" t="s">
        <v>197</v>
      </c>
      <c r="D67" s="14">
        <f>D70+D97</f>
        <v>1809326</v>
      </c>
      <c r="E67" s="14">
        <f t="shared" si="35"/>
        <v>1877252</v>
      </c>
      <c r="F67" s="14">
        <f t="shared" si="35"/>
        <v>67926</v>
      </c>
      <c r="G67" s="95">
        <f t="shared" si="2"/>
        <v>3.7542156582064257</v>
      </c>
    </row>
    <row r="68" spans="1:7" x14ac:dyDescent="0.25">
      <c r="A68" s="15"/>
      <c r="B68" s="15" t="s">
        <v>32</v>
      </c>
      <c r="C68" s="41" t="s">
        <v>33</v>
      </c>
      <c r="D68" s="16"/>
      <c r="E68" s="16"/>
      <c r="F68" s="16"/>
      <c r="G68" s="95" t="e">
        <f t="shared" si="2"/>
        <v>#DIV/0!</v>
      </c>
    </row>
    <row r="69" spans="1:7" x14ac:dyDescent="0.25">
      <c r="A69" s="15"/>
      <c r="B69" s="15" t="s">
        <v>194</v>
      </c>
      <c r="C69" s="25" t="s">
        <v>195</v>
      </c>
      <c r="D69" s="16">
        <f>D72+D75+D78+D81+D84+D87+D90+D93</f>
        <v>4853939</v>
      </c>
      <c r="E69" s="16">
        <f t="shared" ref="E69:F70" si="36">E72+E75+E78+E81+E84+E87+E90+E93</f>
        <v>4870769</v>
      </c>
      <c r="F69" s="16">
        <f t="shared" si="36"/>
        <v>16830</v>
      </c>
      <c r="G69" s="95">
        <f t="shared" si="2"/>
        <v>0.34672870837478592</v>
      </c>
    </row>
    <row r="70" spans="1:7" x14ac:dyDescent="0.25">
      <c r="A70" s="15"/>
      <c r="B70" s="15" t="s">
        <v>196</v>
      </c>
      <c r="C70" s="25" t="s">
        <v>197</v>
      </c>
      <c r="D70" s="16">
        <f>D73+D76+D79+D82+D85+D88+D91+D94</f>
        <v>1636975</v>
      </c>
      <c r="E70" s="16">
        <f t="shared" si="36"/>
        <v>1653805</v>
      </c>
      <c r="F70" s="16">
        <f t="shared" si="36"/>
        <v>16830</v>
      </c>
      <c r="G70" s="95">
        <f t="shared" si="2"/>
        <v>1.0281158844820477</v>
      </c>
    </row>
    <row r="71" spans="1:7" x14ac:dyDescent="0.25">
      <c r="A71" s="15"/>
      <c r="B71" s="15">
        <v>10</v>
      </c>
      <c r="C71" s="2" t="s">
        <v>34</v>
      </c>
      <c r="D71" s="16"/>
      <c r="E71" s="16"/>
      <c r="F71" s="16"/>
      <c r="G71" s="95" t="e">
        <f t="shared" si="2"/>
        <v>#DIV/0!</v>
      </c>
    </row>
    <row r="72" spans="1:7" x14ac:dyDescent="0.25">
      <c r="A72" s="15"/>
      <c r="B72" s="15" t="s">
        <v>194</v>
      </c>
      <c r="C72" s="25" t="s">
        <v>195</v>
      </c>
      <c r="D72" s="16">
        <f t="shared" ref="D72:F73" si="37">D111</f>
        <v>691009</v>
      </c>
      <c r="E72" s="16">
        <f t="shared" si="37"/>
        <v>667203</v>
      </c>
      <c r="F72" s="16">
        <f t="shared" si="37"/>
        <v>-23806</v>
      </c>
      <c r="G72" s="95">
        <f t="shared" si="2"/>
        <v>-3.4451070825416168</v>
      </c>
    </row>
    <row r="73" spans="1:7" x14ac:dyDescent="0.25">
      <c r="A73" s="15"/>
      <c r="B73" s="15" t="s">
        <v>196</v>
      </c>
      <c r="C73" s="25" t="s">
        <v>197</v>
      </c>
      <c r="D73" s="16">
        <f t="shared" si="37"/>
        <v>691009</v>
      </c>
      <c r="E73" s="16">
        <f t="shared" si="37"/>
        <v>667203</v>
      </c>
      <c r="F73" s="16">
        <f t="shared" si="37"/>
        <v>-23806</v>
      </c>
      <c r="G73" s="95">
        <f t="shared" si="2"/>
        <v>-3.4451070825416168</v>
      </c>
    </row>
    <row r="74" spans="1:7" x14ac:dyDescent="0.25">
      <c r="A74" s="15"/>
      <c r="B74" s="15">
        <v>20</v>
      </c>
      <c r="C74" s="2" t="s">
        <v>198</v>
      </c>
      <c r="D74" s="16"/>
      <c r="E74" s="16"/>
      <c r="F74" s="16"/>
      <c r="G74" s="95" t="e">
        <f t="shared" ref="G74:G137" si="38">F74/D74*100</f>
        <v>#DIV/0!</v>
      </c>
    </row>
    <row r="75" spans="1:7" x14ac:dyDescent="0.25">
      <c r="A75" s="15"/>
      <c r="B75" s="15" t="s">
        <v>194</v>
      </c>
      <c r="C75" s="25" t="s">
        <v>195</v>
      </c>
      <c r="D75" s="16">
        <f>D174+D417+D495</f>
        <v>319953</v>
      </c>
      <c r="E75" s="16">
        <f t="shared" ref="E75:F76" si="39">E174+E417+E495</f>
        <v>364531</v>
      </c>
      <c r="F75" s="16">
        <f t="shared" si="39"/>
        <v>44578</v>
      </c>
      <c r="G75" s="95">
        <f t="shared" si="38"/>
        <v>13.932671361106163</v>
      </c>
    </row>
    <row r="76" spans="1:7" x14ac:dyDescent="0.25">
      <c r="A76" s="15"/>
      <c r="B76" s="15" t="s">
        <v>196</v>
      </c>
      <c r="C76" s="25" t="s">
        <v>197</v>
      </c>
      <c r="D76" s="16">
        <f>D175+D418+D496</f>
        <v>319953</v>
      </c>
      <c r="E76" s="16">
        <f t="shared" si="39"/>
        <v>364531</v>
      </c>
      <c r="F76" s="16">
        <f t="shared" si="39"/>
        <v>44578</v>
      </c>
      <c r="G76" s="95">
        <f t="shared" si="38"/>
        <v>13.932671361106163</v>
      </c>
    </row>
    <row r="77" spans="1:7" ht="25.5" x14ac:dyDescent="0.25">
      <c r="A77" s="15"/>
      <c r="B77" s="15">
        <v>56</v>
      </c>
      <c r="C77" s="2" t="s">
        <v>199</v>
      </c>
      <c r="D77" s="16"/>
      <c r="E77" s="16"/>
      <c r="F77" s="16"/>
      <c r="G77" s="95" t="e">
        <f t="shared" si="38"/>
        <v>#DIV/0!</v>
      </c>
    </row>
    <row r="78" spans="1:7" x14ac:dyDescent="0.25">
      <c r="A78" s="15"/>
      <c r="B78" s="15" t="s">
        <v>194</v>
      </c>
      <c r="C78" s="25" t="s">
        <v>195</v>
      </c>
      <c r="D78" s="16">
        <f>D516</f>
        <v>7</v>
      </c>
      <c r="E78" s="16">
        <f t="shared" ref="E78:F79" si="40">E516</f>
        <v>7</v>
      </c>
      <c r="F78" s="16">
        <f t="shared" si="40"/>
        <v>0</v>
      </c>
      <c r="G78" s="95">
        <f t="shared" si="38"/>
        <v>0</v>
      </c>
    </row>
    <row r="79" spans="1:7" x14ac:dyDescent="0.25">
      <c r="A79" s="15"/>
      <c r="B79" s="15" t="s">
        <v>196</v>
      </c>
      <c r="C79" s="25" t="s">
        <v>197</v>
      </c>
      <c r="D79" s="16">
        <f>D517</f>
        <v>7</v>
      </c>
      <c r="E79" s="16">
        <f t="shared" si="40"/>
        <v>7</v>
      </c>
      <c r="F79" s="16">
        <f t="shared" si="40"/>
        <v>0</v>
      </c>
      <c r="G79" s="95">
        <f t="shared" si="38"/>
        <v>0</v>
      </c>
    </row>
    <row r="80" spans="1:7" hidden="1" x14ac:dyDescent="0.25">
      <c r="A80" s="15"/>
      <c r="B80" s="15">
        <v>57</v>
      </c>
      <c r="C80" s="2" t="s">
        <v>271</v>
      </c>
      <c r="D80" s="16"/>
      <c r="E80" s="16"/>
      <c r="F80" s="16"/>
      <c r="G80" s="95" t="e">
        <f t="shared" si="38"/>
        <v>#DIV/0!</v>
      </c>
    </row>
    <row r="81" spans="1:7" hidden="1" x14ac:dyDescent="0.25">
      <c r="A81" s="15"/>
      <c r="B81" s="15" t="s">
        <v>194</v>
      </c>
      <c r="C81" s="25" t="s">
        <v>195</v>
      </c>
      <c r="D81" s="16">
        <f>D309</f>
        <v>0</v>
      </c>
      <c r="E81" s="16">
        <f t="shared" ref="E81:F82" si="41">E309</f>
        <v>0</v>
      </c>
      <c r="F81" s="16">
        <f t="shared" si="41"/>
        <v>0</v>
      </c>
      <c r="G81" s="95" t="e">
        <f t="shared" si="38"/>
        <v>#DIV/0!</v>
      </c>
    </row>
    <row r="82" spans="1:7" hidden="1" x14ac:dyDescent="0.25">
      <c r="A82" s="15"/>
      <c r="B82" s="15" t="s">
        <v>196</v>
      </c>
      <c r="C82" s="25" t="s">
        <v>197</v>
      </c>
      <c r="D82" s="16">
        <f>D310</f>
        <v>0</v>
      </c>
      <c r="E82" s="16">
        <f t="shared" si="41"/>
        <v>0</v>
      </c>
      <c r="F82" s="16">
        <f t="shared" si="41"/>
        <v>0</v>
      </c>
      <c r="G82" s="95" t="e">
        <f t="shared" si="38"/>
        <v>#DIV/0!</v>
      </c>
    </row>
    <row r="83" spans="1:7" ht="38.25" x14ac:dyDescent="0.25">
      <c r="A83" s="15"/>
      <c r="B83" s="15" t="s">
        <v>35</v>
      </c>
      <c r="C83" s="2" t="s">
        <v>200</v>
      </c>
      <c r="D83" s="16"/>
      <c r="E83" s="16"/>
      <c r="F83" s="16"/>
      <c r="G83" s="95" t="e">
        <f t="shared" si="38"/>
        <v>#DIV/0!</v>
      </c>
    </row>
    <row r="84" spans="1:7" x14ac:dyDescent="0.25">
      <c r="A84" s="15"/>
      <c r="B84" s="15" t="s">
        <v>194</v>
      </c>
      <c r="C84" s="25" t="s">
        <v>195</v>
      </c>
      <c r="D84" s="16">
        <f>D318+D426+D525</f>
        <v>3423541</v>
      </c>
      <c r="E84" s="16">
        <f t="shared" ref="E84:F85" si="42">E318+E426+E525</f>
        <v>3419693</v>
      </c>
      <c r="F84" s="16">
        <f t="shared" si="42"/>
        <v>-3848</v>
      </c>
      <c r="G84" s="95">
        <f t="shared" si="38"/>
        <v>-0.1123982449750127</v>
      </c>
    </row>
    <row r="85" spans="1:7" x14ac:dyDescent="0.25">
      <c r="A85" s="15"/>
      <c r="B85" s="15" t="s">
        <v>196</v>
      </c>
      <c r="C85" s="25" t="s">
        <v>197</v>
      </c>
      <c r="D85" s="16">
        <f>D319+D427+D526</f>
        <v>549744</v>
      </c>
      <c r="E85" s="16">
        <f t="shared" si="42"/>
        <v>545896</v>
      </c>
      <c r="F85" s="16">
        <f t="shared" si="42"/>
        <v>-3848</v>
      </c>
      <c r="G85" s="95">
        <f t="shared" si="38"/>
        <v>-0.69996216420734014</v>
      </c>
    </row>
    <row r="86" spans="1:7" x14ac:dyDescent="0.25">
      <c r="A86" s="15"/>
      <c r="B86" s="15" t="s">
        <v>36</v>
      </c>
      <c r="C86" s="2" t="s">
        <v>37</v>
      </c>
      <c r="D86" s="16"/>
      <c r="E86" s="16"/>
      <c r="F86" s="16"/>
      <c r="G86" s="95" t="e">
        <f t="shared" si="38"/>
        <v>#DIV/0!</v>
      </c>
    </row>
    <row r="87" spans="1:7" x14ac:dyDescent="0.25">
      <c r="A87" s="15"/>
      <c r="B87" s="15" t="s">
        <v>194</v>
      </c>
      <c r="C87" s="25" t="s">
        <v>195</v>
      </c>
      <c r="D87" s="16">
        <f t="shared" ref="D87:F88" si="43">D375</f>
        <v>8189</v>
      </c>
      <c r="E87" s="16">
        <f t="shared" si="43"/>
        <v>8095</v>
      </c>
      <c r="F87" s="16">
        <f t="shared" si="43"/>
        <v>-94</v>
      </c>
      <c r="G87" s="95">
        <f t="shared" si="38"/>
        <v>-1.1478813041885456</v>
      </c>
    </row>
    <row r="88" spans="1:7" x14ac:dyDescent="0.25">
      <c r="A88" s="15"/>
      <c r="B88" s="15" t="s">
        <v>196</v>
      </c>
      <c r="C88" s="25" t="s">
        <v>197</v>
      </c>
      <c r="D88" s="16">
        <f t="shared" si="43"/>
        <v>8189</v>
      </c>
      <c r="E88" s="16">
        <f t="shared" si="43"/>
        <v>8095</v>
      </c>
      <c r="F88" s="16">
        <f t="shared" si="43"/>
        <v>-94</v>
      </c>
      <c r="G88" s="95">
        <f t="shared" si="38"/>
        <v>-1.1478813041885456</v>
      </c>
    </row>
    <row r="89" spans="1:7" ht="25.5" x14ac:dyDescent="0.25">
      <c r="A89" s="15"/>
      <c r="B89" s="15">
        <v>61</v>
      </c>
      <c r="C89" s="2" t="s">
        <v>333</v>
      </c>
      <c r="D89" s="16"/>
      <c r="E89" s="16"/>
      <c r="F89" s="16"/>
      <c r="G89" s="95" t="e">
        <f t="shared" si="38"/>
        <v>#DIV/0!</v>
      </c>
    </row>
    <row r="90" spans="1:7" x14ac:dyDescent="0.25">
      <c r="A90" s="15"/>
      <c r="B90" s="15" t="s">
        <v>194</v>
      </c>
      <c r="C90" s="25" t="s">
        <v>195</v>
      </c>
      <c r="D90" s="16">
        <f>D453</f>
        <v>355334</v>
      </c>
      <c r="E90" s="16">
        <f t="shared" ref="E90:F91" si="44">E453</f>
        <v>355334</v>
      </c>
      <c r="F90" s="16">
        <f t="shared" si="44"/>
        <v>0</v>
      </c>
      <c r="G90" s="95">
        <f t="shared" si="38"/>
        <v>0</v>
      </c>
    </row>
    <row r="91" spans="1:7" x14ac:dyDescent="0.25">
      <c r="A91" s="15"/>
      <c r="B91" s="15" t="s">
        <v>196</v>
      </c>
      <c r="C91" s="25" t="s">
        <v>197</v>
      </c>
      <c r="D91" s="16">
        <f>D454</f>
        <v>29573</v>
      </c>
      <c r="E91" s="16">
        <f t="shared" si="44"/>
        <v>29573</v>
      </c>
      <c r="F91" s="16">
        <f t="shared" si="44"/>
        <v>0</v>
      </c>
      <c r="G91" s="95">
        <f t="shared" si="38"/>
        <v>0</v>
      </c>
    </row>
    <row r="92" spans="1:7" ht="25.5" x14ac:dyDescent="0.25">
      <c r="A92" s="26"/>
      <c r="B92" s="26">
        <v>65</v>
      </c>
      <c r="C92" s="2" t="s">
        <v>201</v>
      </c>
      <c r="D92" s="16"/>
      <c r="E92" s="16"/>
      <c r="F92" s="16"/>
      <c r="G92" s="95" t="e">
        <f t="shared" si="38"/>
        <v>#DIV/0!</v>
      </c>
    </row>
    <row r="93" spans="1:7" x14ac:dyDescent="0.25">
      <c r="A93" s="26"/>
      <c r="B93" s="15" t="s">
        <v>194</v>
      </c>
      <c r="C93" s="25" t="s">
        <v>195</v>
      </c>
      <c r="D93" s="16">
        <f>D465</f>
        <v>55906</v>
      </c>
      <c r="E93" s="16">
        <f t="shared" ref="E93:F94" si="45">E465</f>
        <v>55906</v>
      </c>
      <c r="F93" s="16">
        <f t="shared" si="45"/>
        <v>0</v>
      </c>
      <c r="G93" s="95">
        <f t="shared" si="38"/>
        <v>0</v>
      </c>
    </row>
    <row r="94" spans="1:7" x14ac:dyDescent="0.25">
      <c r="A94" s="26"/>
      <c r="B94" s="15" t="s">
        <v>196</v>
      </c>
      <c r="C94" s="25" t="s">
        <v>197</v>
      </c>
      <c r="D94" s="16">
        <f>D466</f>
        <v>38500</v>
      </c>
      <c r="E94" s="16">
        <f t="shared" si="45"/>
        <v>38500</v>
      </c>
      <c r="F94" s="16">
        <f t="shared" si="45"/>
        <v>0</v>
      </c>
      <c r="G94" s="95">
        <f t="shared" si="38"/>
        <v>0</v>
      </c>
    </row>
    <row r="95" spans="1:7" x14ac:dyDescent="0.25">
      <c r="A95" s="15"/>
      <c r="B95" s="15">
        <v>70</v>
      </c>
      <c r="C95" s="25" t="s">
        <v>38</v>
      </c>
      <c r="D95" s="16"/>
      <c r="E95" s="16"/>
      <c r="F95" s="16"/>
      <c r="G95" s="95" t="e">
        <f t="shared" si="38"/>
        <v>#DIV/0!</v>
      </c>
    </row>
    <row r="96" spans="1:7" x14ac:dyDescent="0.25">
      <c r="A96" s="15"/>
      <c r="B96" s="15" t="s">
        <v>194</v>
      </c>
      <c r="C96" s="25" t="s">
        <v>195</v>
      </c>
      <c r="D96" s="16">
        <f>D384+D471+D501</f>
        <v>477881</v>
      </c>
      <c r="E96" s="16">
        <f t="shared" ref="E96:F97" si="46">E384+E471+E501</f>
        <v>539065</v>
      </c>
      <c r="F96" s="16">
        <f t="shared" si="46"/>
        <v>61184</v>
      </c>
      <c r="G96" s="95">
        <f t="shared" si="38"/>
        <v>12.803187404395654</v>
      </c>
    </row>
    <row r="97" spans="1:7" x14ac:dyDescent="0.25">
      <c r="A97" s="15"/>
      <c r="B97" s="15" t="s">
        <v>196</v>
      </c>
      <c r="C97" s="25" t="s">
        <v>197</v>
      </c>
      <c r="D97" s="16">
        <f>D385+D472+D502</f>
        <v>172351</v>
      </c>
      <c r="E97" s="16">
        <f t="shared" si="46"/>
        <v>223447</v>
      </c>
      <c r="F97" s="16">
        <f t="shared" si="46"/>
        <v>51096</v>
      </c>
      <c r="G97" s="95">
        <f t="shared" si="38"/>
        <v>29.646477247013365</v>
      </c>
    </row>
    <row r="98" spans="1:7" x14ac:dyDescent="0.25">
      <c r="A98" s="24"/>
      <c r="B98" s="24"/>
      <c r="C98" s="83" t="s">
        <v>39</v>
      </c>
      <c r="D98" s="14"/>
      <c r="E98" s="14"/>
      <c r="F98" s="14"/>
      <c r="G98" s="95" t="e">
        <f t="shared" si="38"/>
        <v>#DIV/0!</v>
      </c>
    </row>
    <row r="99" spans="1:7" x14ac:dyDescent="0.25">
      <c r="A99" s="24"/>
      <c r="B99" s="24" t="s">
        <v>194</v>
      </c>
      <c r="C99" s="83" t="s">
        <v>195</v>
      </c>
      <c r="D99" s="14">
        <f t="shared" ref="D99:F100" si="47">D102+D408+D507</f>
        <v>5331820</v>
      </c>
      <c r="E99" s="14">
        <f t="shared" si="47"/>
        <v>5409834</v>
      </c>
      <c r="F99" s="14">
        <f t="shared" si="47"/>
        <v>78014</v>
      </c>
      <c r="G99" s="95">
        <f t="shared" si="38"/>
        <v>1.4631776766657538</v>
      </c>
    </row>
    <row r="100" spans="1:7" x14ac:dyDescent="0.25">
      <c r="A100" s="24"/>
      <c r="B100" s="24" t="s">
        <v>196</v>
      </c>
      <c r="C100" s="83" t="s">
        <v>197</v>
      </c>
      <c r="D100" s="14">
        <f t="shared" si="47"/>
        <v>1809326</v>
      </c>
      <c r="E100" s="14">
        <f t="shared" si="47"/>
        <v>1877252</v>
      </c>
      <c r="F100" s="14">
        <f t="shared" si="47"/>
        <v>67926</v>
      </c>
      <c r="G100" s="95">
        <f t="shared" si="38"/>
        <v>3.7542156582064257</v>
      </c>
    </row>
    <row r="101" spans="1:7" x14ac:dyDescent="0.25">
      <c r="A101" s="15" t="s">
        <v>30</v>
      </c>
      <c r="B101" s="15"/>
      <c r="C101" s="25" t="s">
        <v>40</v>
      </c>
      <c r="D101" s="16"/>
      <c r="E101" s="16"/>
      <c r="F101" s="16"/>
      <c r="G101" s="95" t="e">
        <f t="shared" si="38"/>
        <v>#DIV/0!</v>
      </c>
    </row>
    <row r="102" spans="1:7" x14ac:dyDescent="0.25">
      <c r="A102" s="15"/>
      <c r="B102" s="15" t="s">
        <v>194</v>
      </c>
      <c r="C102" s="25" t="s">
        <v>195</v>
      </c>
      <c r="D102" s="16">
        <f t="shared" ref="D102:F103" si="48">D105</f>
        <v>1086309</v>
      </c>
      <c r="E102" s="16">
        <f t="shared" si="48"/>
        <v>1164323</v>
      </c>
      <c r="F102" s="16">
        <f t="shared" si="48"/>
        <v>78014</v>
      </c>
      <c r="G102" s="95">
        <f t="shared" si="38"/>
        <v>7.1815662026182236</v>
      </c>
    </row>
    <row r="103" spans="1:7" x14ac:dyDescent="0.25">
      <c r="A103" s="15"/>
      <c r="B103" s="15" t="s">
        <v>196</v>
      </c>
      <c r="C103" s="25" t="s">
        <v>197</v>
      </c>
      <c r="D103" s="16">
        <f>D106</f>
        <v>1079101</v>
      </c>
      <c r="E103" s="16">
        <f t="shared" si="48"/>
        <v>1147027</v>
      </c>
      <c r="F103" s="16">
        <f t="shared" si="48"/>
        <v>67926</v>
      </c>
      <c r="G103" s="95">
        <f t="shared" si="38"/>
        <v>6.2946841861883183</v>
      </c>
    </row>
    <row r="104" spans="1:7" x14ac:dyDescent="0.25">
      <c r="A104" s="15" t="s">
        <v>30</v>
      </c>
      <c r="B104" s="15" t="s">
        <v>41</v>
      </c>
      <c r="C104" s="25" t="s">
        <v>202</v>
      </c>
      <c r="D104" s="16"/>
      <c r="E104" s="16"/>
      <c r="F104" s="16"/>
      <c r="G104" s="95" t="e">
        <f t="shared" si="38"/>
        <v>#DIV/0!</v>
      </c>
    </row>
    <row r="105" spans="1:7" x14ac:dyDescent="0.25">
      <c r="A105" s="15"/>
      <c r="B105" s="15" t="s">
        <v>194</v>
      </c>
      <c r="C105" s="25" t="s">
        <v>195</v>
      </c>
      <c r="D105" s="16">
        <f>D108+D384</f>
        <v>1086309</v>
      </c>
      <c r="E105" s="16">
        <f t="shared" ref="E105:F106" si="49">E108+E384</f>
        <v>1164323</v>
      </c>
      <c r="F105" s="16">
        <f t="shared" si="49"/>
        <v>78014</v>
      </c>
      <c r="G105" s="95">
        <f t="shared" si="38"/>
        <v>7.1815662026182236</v>
      </c>
    </row>
    <row r="106" spans="1:7" x14ac:dyDescent="0.25">
      <c r="A106" s="15"/>
      <c r="B106" s="15" t="s">
        <v>196</v>
      </c>
      <c r="C106" s="25" t="s">
        <v>197</v>
      </c>
      <c r="D106" s="16">
        <f>D109+D385</f>
        <v>1079101</v>
      </c>
      <c r="E106" s="16">
        <f t="shared" si="49"/>
        <v>1147027</v>
      </c>
      <c r="F106" s="16">
        <f t="shared" si="49"/>
        <v>67926</v>
      </c>
      <c r="G106" s="95">
        <f t="shared" si="38"/>
        <v>6.2946841861883183</v>
      </c>
    </row>
    <row r="107" spans="1:7" x14ac:dyDescent="0.25">
      <c r="A107" s="15" t="s">
        <v>30</v>
      </c>
      <c r="B107" s="15" t="s">
        <v>32</v>
      </c>
      <c r="C107" s="25" t="s">
        <v>33</v>
      </c>
      <c r="D107" s="16"/>
      <c r="E107" s="16"/>
      <c r="F107" s="16"/>
      <c r="G107" s="95" t="e">
        <f t="shared" si="38"/>
        <v>#DIV/0!</v>
      </c>
    </row>
    <row r="108" spans="1:7" x14ac:dyDescent="0.25">
      <c r="A108" s="15"/>
      <c r="B108" s="15" t="s">
        <v>194</v>
      </c>
      <c r="C108" s="25" t="s">
        <v>195</v>
      </c>
      <c r="D108" s="16">
        <f>D111+D174+D309+D318+D375</f>
        <v>1027802</v>
      </c>
      <c r="E108" s="16">
        <f t="shared" ref="E108:F109" si="50">E111+E174+E309+E318+E375</f>
        <v>1044632</v>
      </c>
      <c r="F108" s="16">
        <f t="shared" si="50"/>
        <v>16830</v>
      </c>
      <c r="G108" s="95">
        <f t="shared" si="38"/>
        <v>1.6374749222126439</v>
      </c>
    </row>
    <row r="109" spans="1:7" x14ac:dyDescent="0.25">
      <c r="A109" s="15"/>
      <c r="B109" s="15" t="s">
        <v>196</v>
      </c>
      <c r="C109" s="25" t="s">
        <v>197</v>
      </c>
      <c r="D109" s="16">
        <f>D112+D175+D310+D319+D376</f>
        <v>1029300</v>
      </c>
      <c r="E109" s="16">
        <f t="shared" si="50"/>
        <v>1046130</v>
      </c>
      <c r="F109" s="16">
        <f t="shared" si="50"/>
        <v>16830</v>
      </c>
      <c r="G109" s="95">
        <f t="shared" si="38"/>
        <v>1.6350918099679392</v>
      </c>
    </row>
    <row r="110" spans="1:7" x14ac:dyDescent="0.25">
      <c r="A110" s="15" t="s">
        <v>30</v>
      </c>
      <c r="B110" s="15">
        <v>10</v>
      </c>
      <c r="C110" s="25" t="s">
        <v>34</v>
      </c>
      <c r="D110" s="16"/>
      <c r="E110" s="16"/>
      <c r="F110" s="16"/>
      <c r="G110" s="95" t="e">
        <f t="shared" si="38"/>
        <v>#DIV/0!</v>
      </c>
    </row>
    <row r="111" spans="1:7" x14ac:dyDescent="0.25">
      <c r="A111" s="15"/>
      <c r="B111" s="15" t="s">
        <v>194</v>
      </c>
      <c r="C111" s="25" t="s">
        <v>195</v>
      </c>
      <c r="D111" s="16">
        <f>D114+D147+D141</f>
        <v>691009</v>
      </c>
      <c r="E111" s="16">
        <f t="shared" ref="E111:F112" si="51">E114+E147+E141</f>
        <v>667203</v>
      </c>
      <c r="F111" s="16">
        <f t="shared" si="51"/>
        <v>-23806</v>
      </c>
      <c r="G111" s="95">
        <f t="shared" si="38"/>
        <v>-3.4451070825416168</v>
      </c>
    </row>
    <row r="112" spans="1:7" x14ac:dyDescent="0.25">
      <c r="A112" s="15"/>
      <c r="B112" s="15" t="s">
        <v>196</v>
      </c>
      <c r="C112" s="25" t="s">
        <v>197</v>
      </c>
      <c r="D112" s="16">
        <f>D115+D148+D142</f>
        <v>691009</v>
      </c>
      <c r="E112" s="16">
        <f t="shared" si="51"/>
        <v>667203</v>
      </c>
      <c r="F112" s="16">
        <f t="shared" si="51"/>
        <v>-23806</v>
      </c>
      <c r="G112" s="95">
        <f t="shared" si="38"/>
        <v>-3.4451070825416168</v>
      </c>
    </row>
    <row r="113" spans="1:7" x14ac:dyDescent="0.25">
      <c r="A113" s="15" t="s">
        <v>30</v>
      </c>
      <c r="B113" s="15" t="s">
        <v>42</v>
      </c>
      <c r="C113" s="25" t="s">
        <v>203</v>
      </c>
      <c r="D113" s="16"/>
      <c r="E113" s="16"/>
      <c r="F113" s="16"/>
      <c r="G113" s="95" t="e">
        <f t="shared" si="38"/>
        <v>#DIV/0!</v>
      </c>
    </row>
    <row r="114" spans="1:7" x14ac:dyDescent="0.25">
      <c r="A114" s="15"/>
      <c r="B114" s="15" t="s">
        <v>194</v>
      </c>
      <c r="C114" s="25" t="s">
        <v>195</v>
      </c>
      <c r="D114" s="16">
        <f>D117+D120+D123+D126+D129+D132+D138+D135</f>
        <v>661935</v>
      </c>
      <c r="E114" s="16">
        <f t="shared" ref="E114:F115" si="52">E117+E120+E123+E126+E129+E132+E138+E135</f>
        <v>639146</v>
      </c>
      <c r="F114" s="16">
        <f t="shared" si="52"/>
        <v>-22789</v>
      </c>
      <c r="G114" s="95">
        <f t="shared" si="38"/>
        <v>-3.4427851677279491</v>
      </c>
    </row>
    <row r="115" spans="1:7" x14ac:dyDescent="0.25">
      <c r="A115" s="15"/>
      <c r="B115" s="15" t="s">
        <v>196</v>
      </c>
      <c r="C115" s="25" t="s">
        <v>197</v>
      </c>
      <c r="D115" s="16">
        <f>D118+D121+D124+D127+D130+D133+D139+D136</f>
        <v>661935</v>
      </c>
      <c r="E115" s="16">
        <f t="shared" si="52"/>
        <v>639146</v>
      </c>
      <c r="F115" s="16">
        <f t="shared" si="52"/>
        <v>-22789</v>
      </c>
      <c r="G115" s="95">
        <f t="shared" si="38"/>
        <v>-3.4427851677279491</v>
      </c>
    </row>
    <row r="116" spans="1:7" x14ac:dyDescent="0.25">
      <c r="A116" s="51" t="s">
        <v>30</v>
      </c>
      <c r="B116" s="51" t="s">
        <v>43</v>
      </c>
      <c r="C116" s="52" t="s">
        <v>204</v>
      </c>
      <c r="D116" s="29"/>
      <c r="E116" s="29"/>
      <c r="F116" s="29"/>
      <c r="G116" s="95" t="e">
        <f t="shared" si="38"/>
        <v>#DIV/0!</v>
      </c>
    </row>
    <row r="117" spans="1:7" x14ac:dyDescent="0.25">
      <c r="A117" s="51"/>
      <c r="B117" s="12" t="s">
        <v>194</v>
      </c>
      <c r="C117" s="53" t="s">
        <v>195</v>
      </c>
      <c r="D117" s="88">
        <f>615419-5466-644</f>
        <v>609309</v>
      </c>
      <c r="E117" s="86">
        <f>'[1]BVC 2022 '!D117</f>
        <v>591258</v>
      </c>
      <c r="F117" s="101">
        <f t="shared" ref="F117:F118" si="53">E117-D117</f>
        <v>-18051</v>
      </c>
      <c r="G117" s="95">
        <f t="shared" si="38"/>
        <v>-2.9625362500800088</v>
      </c>
    </row>
    <row r="118" spans="1:7" x14ac:dyDescent="0.25">
      <c r="A118" s="51"/>
      <c r="B118" s="33" t="s">
        <v>196</v>
      </c>
      <c r="C118" s="54" t="s">
        <v>197</v>
      </c>
      <c r="D118" s="88">
        <f>615419-5466-644</f>
        <v>609309</v>
      </c>
      <c r="E118" s="86">
        <f>'[1]BVC 2022 '!D118</f>
        <v>591258</v>
      </c>
      <c r="F118" s="101">
        <f t="shared" si="53"/>
        <v>-18051</v>
      </c>
      <c r="G118" s="95">
        <f t="shared" si="38"/>
        <v>-2.9625362500800088</v>
      </c>
    </row>
    <row r="119" spans="1:7" x14ac:dyDescent="0.25">
      <c r="A119" s="51" t="s">
        <v>30</v>
      </c>
      <c r="B119" s="51" t="s">
        <v>311</v>
      </c>
      <c r="C119" s="52" t="s">
        <v>312</v>
      </c>
      <c r="D119" s="86"/>
      <c r="E119" s="29"/>
      <c r="F119" s="29"/>
      <c r="G119" s="95" t="e">
        <f t="shared" si="38"/>
        <v>#DIV/0!</v>
      </c>
    </row>
    <row r="120" spans="1:7" x14ac:dyDescent="0.25">
      <c r="A120" s="51"/>
      <c r="B120" s="12" t="s">
        <v>194</v>
      </c>
      <c r="C120" s="53" t="s">
        <v>195</v>
      </c>
      <c r="D120" s="88">
        <v>61</v>
      </c>
      <c r="E120" s="86">
        <f>'[1]BVC 2022 '!D120</f>
        <v>142</v>
      </c>
      <c r="F120" s="101">
        <f t="shared" ref="F120:F121" si="54">E120-D120</f>
        <v>81</v>
      </c>
      <c r="G120" s="95">
        <f t="shared" si="38"/>
        <v>132.78688524590163</v>
      </c>
    </row>
    <row r="121" spans="1:7" x14ac:dyDescent="0.25">
      <c r="A121" s="51"/>
      <c r="B121" s="33" t="s">
        <v>196</v>
      </c>
      <c r="C121" s="54" t="s">
        <v>197</v>
      </c>
      <c r="D121" s="88">
        <v>61</v>
      </c>
      <c r="E121" s="86">
        <f>'[1]BVC 2022 '!D121</f>
        <v>142</v>
      </c>
      <c r="F121" s="101">
        <f t="shared" si="54"/>
        <v>81</v>
      </c>
      <c r="G121" s="95">
        <f t="shared" si="38"/>
        <v>132.78688524590163</v>
      </c>
    </row>
    <row r="122" spans="1:7" x14ac:dyDescent="0.25">
      <c r="A122" s="55" t="s">
        <v>30</v>
      </c>
      <c r="B122" s="55" t="s">
        <v>44</v>
      </c>
      <c r="C122" s="56" t="s">
        <v>45</v>
      </c>
      <c r="D122" s="86"/>
      <c r="E122" s="29"/>
      <c r="F122" s="29"/>
      <c r="G122" s="95" t="e">
        <f t="shared" si="38"/>
        <v>#DIV/0!</v>
      </c>
    </row>
    <row r="123" spans="1:7" x14ac:dyDescent="0.25">
      <c r="A123" s="55"/>
      <c r="B123" s="12" t="s">
        <v>194</v>
      </c>
      <c r="C123" s="53" t="s">
        <v>195</v>
      </c>
      <c r="D123" s="88">
        <f>7202+30</f>
        <v>7232</v>
      </c>
      <c r="E123" s="86">
        <f>'[1]BVC 2022 '!D123</f>
        <v>6366</v>
      </c>
      <c r="F123" s="101">
        <f t="shared" ref="F123:F124" si="55">E123-D123</f>
        <v>-866</v>
      </c>
      <c r="G123" s="95">
        <f t="shared" si="38"/>
        <v>-11.974557522123893</v>
      </c>
    </row>
    <row r="124" spans="1:7" x14ac:dyDescent="0.25">
      <c r="A124" s="55"/>
      <c r="B124" s="33" t="s">
        <v>196</v>
      </c>
      <c r="C124" s="54" t="s">
        <v>197</v>
      </c>
      <c r="D124" s="88">
        <f>7202+30</f>
        <v>7232</v>
      </c>
      <c r="E124" s="86">
        <f>'[1]BVC 2022 '!D124</f>
        <v>6366</v>
      </c>
      <c r="F124" s="101">
        <f t="shared" si="55"/>
        <v>-866</v>
      </c>
      <c r="G124" s="95">
        <f t="shared" si="38"/>
        <v>-11.974557522123893</v>
      </c>
    </row>
    <row r="125" spans="1:7" x14ac:dyDescent="0.25">
      <c r="A125" s="55" t="s">
        <v>30</v>
      </c>
      <c r="B125" s="55" t="s">
        <v>46</v>
      </c>
      <c r="C125" s="56" t="s">
        <v>205</v>
      </c>
      <c r="D125" s="86"/>
      <c r="E125" s="29"/>
      <c r="F125" s="29"/>
      <c r="G125" s="95" t="e">
        <f t="shared" si="38"/>
        <v>#DIV/0!</v>
      </c>
    </row>
    <row r="126" spans="1:7" x14ac:dyDescent="0.25">
      <c r="A126" s="55"/>
      <c r="B126" s="12" t="s">
        <v>194</v>
      </c>
      <c r="C126" s="53" t="s">
        <v>195</v>
      </c>
      <c r="D126" s="88">
        <f>1201+450</f>
        <v>1651</v>
      </c>
      <c r="E126" s="86">
        <f>'[1]BVC 2022 '!D126</f>
        <v>1614</v>
      </c>
      <c r="F126" s="101">
        <f t="shared" ref="F126:F127" si="56">E126-D126</f>
        <v>-37</v>
      </c>
      <c r="G126" s="95">
        <f t="shared" si="38"/>
        <v>-2.2410660205935793</v>
      </c>
    </row>
    <row r="127" spans="1:7" x14ac:dyDescent="0.25">
      <c r="A127" s="55"/>
      <c r="B127" s="33" t="s">
        <v>196</v>
      </c>
      <c r="C127" s="54" t="s">
        <v>197</v>
      </c>
      <c r="D127" s="88">
        <f>1201+450</f>
        <v>1651</v>
      </c>
      <c r="E127" s="86">
        <f>'[1]BVC 2022 '!D127</f>
        <v>1614</v>
      </c>
      <c r="F127" s="101">
        <f t="shared" si="56"/>
        <v>-37</v>
      </c>
      <c r="G127" s="95">
        <f t="shared" si="38"/>
        <v>-2.2410660205935793</v>
      </c>
    </row>
    <row r="128" spans="1:7" x14ac:dyDescent="0.25">
      <c r="A128" s="55" t="s">
        <v>30</v>
      </c>
      <c r="B128" s="55" t="s">
        <v>47</v>
      </c>
      <c r="C128" s="56" t="s">
        <v>268</v>
      </c>
      <c r="D128" s="86"/>
      <c r="E128" s="29"/>
      <c r="F128" s="29"/>
      <c r="G128" s="95" t="e">
        <f t="shared" si="38"/>
        <v>#DIV/0!</v>
      </c>
    </row>
    <row r="129" spans="1:7" x14ac:dyDescent="0.25">
      <c r="A129" s="55"/>
      <c r="B129" s="12" t="s">
        <v>194</v>
      </c>
      <c r="C129" s="53" t="s">
        <v>195</v>
      </c>
      <c r="D129" s="88">
        <v>1239</v>
      </c>
      <c r="E129" s="86">
        <f>'[1]BVC 2022 '!D129</f>
        <v>1139</v>
      </c>
      <c r="F129" s="101">
        <f t="shared" ref="F129:F130" si="57">E129-D129</f>
        <v>-100</v>
      </c>
      <c r="G129" s="95">
        <f t="shared" si="38"/>
        <v>-8.0710250201775615</v>
      </c>
    </row>
    <row r="130" spans="1:7" x14ac:dyDescent="0.25">
      <c r="A130" s="55"/>
      <c r="B130" s="33" t="s">
        <v>196</v>
      </c>
      <c r="C130" s="54" t="s">
        <v>197</v>
      </c>
      <c r="D130" s="88">
        <v>1239</v>
      </c>
      <c r="E130" s="86">
        <f>'[1]BVC 2022 '!D130</f>
        <v>1139</v>
      </c>
      <c r="F130" s="101">
        <f t="shared" si="57"/>
        <v>-100</v>
      </c>
      <c r="G130" s="95">
        <f t="shared" si="38"/>
        <v>-8.0710250201775615</v>
      </c>
    </row>
    <row r="131" spans="1:7" hidden="1" x14ac:dyDescent="0.25">
      <c r="A131" s="55" t="s">
        <v>30</v>
      </c>
      <c r="B131" s="55" t="s">
        <v>48</v>
      </c>
      <c r="C131" s="56" t="s">
        <v>206</v>
      </c>
      <c r="D131" s="86"/>
      <c r="E131" s="29"/>
      <c r="F131" s="29"/>
      <c r="G131" s="95" t="e">
        <f t="shared" si="38"/>
        <v>#DIV/0!</v>
      </c>
    </row>
    <row r="132" spans="1:7" hidden="1" x14ac:dyDescent="0.25">
      <c r="A132" s="55"/>
      <c r="B132" s="12" t="s">
        <v>194</v>
      </c>
      <c r="C132" s="53" t="s">
        <v>195</v>
      </c>
      <c r="D132" s="88">
        <v>0</v>
      </c>
      <c r="E132" s="17">
        <v>0</v>
      </c>
      <c r="F132" s="17">
        <v>0</v>
      </c>
      <c r="G132" s="95" t="e">
        <f t="shared" si="38"/>
        <v>#DIV/0!</v>
      </c>
    </row>
    <row r="133" spans="1:7" hidden="1" x14ac:dyDescent="0.25">
      <c r="A133" s="55"/>
      <c r="B133" s="33" t="s">
        <v>196</v>
      </c>
      <c r="C133" s="54" t="s">
        <v>197</v>
      </c>
      <c r="D133" s="88">
        <v>0</v>
      </c>
      <c r="E133" s="17">
        <v>0</v>
      </c>
      <c r="F133" s="17">
        <v>0</v>
      </c>
      <c r="G133" s="95" t="e">
        <f t="shared" si="38"/>
        <v>#DIV/0!</v>
      </c>
    </row>
    <row r="134" spans="1:7" x14ac:dyDescent="0.25">
      <c r="A134" s="55" t="s">
        <v>30</v>
      </c>
      <c r="B134" s="55" t="s">
        <v>269</v>
      </c>
      <c r="C134" s="56" t="s">
        <v>270</v>
      </c>
      <c r="D134" s="86"/>
      <c r="E134" s="29"/>
      <c r="F134" s="29"/>
      <c r="G134" s="95" t="e">
        <f t="shared" si="38"/>
        <v>#DIV/0!</v>
      </c>
    </row>
    <row r="135" spans="1:7" x14ac:dyDescent="0.25">
      <c r="A135" s="55"/>
      <c r="B135" s="12" t="s">
        <v>194</v>
      </c>
      <c r="C135" s="53" t="s">
        <v>195</v>
      </c>
      <c r="D135" s="88">
        <f>34393+234-184</f>
        <v>34443</v>
      </c>
      <c r="E135" s="86">
        <f>'[1]BVC 2022 '!D135</f>
        <v>31292</v>
      </c>
      <c r="F135" s="101">
        <f t="shared" ref="F135:F136" si="58">E135-D135</f>
        <v>-3151</v>
      </c>
      <c r="G135" s="95">
        <f t="shared" si="38"/>
        <v>-9.1484481607293215</v>
      </c>
    </row>
    <row r="136" spans="1:7" x14ac:dyDescent="0.25">
      <c r="A136" s="55"/>
      <c r="B136" s="33" t="s">
        <v>196</v>
      </c>
      <c r="C136" s="54" t="s">
        <v>197</v>
      </c>
      <c r="D136" s="88">
        <f>34393+234-184</f>
        <v>34443</v>
      </c>
      <c r="E136" s="86">
        <f>'[1]BVC 2022 '!D136</f>
        <v>31292</v>
      </c>
      <c r="F136" s="101">
        <f t="shared" si="58"/>
        <v>-3151</v>
      </c>
      <c r="G136" s="95">
        <f t="shared" si="38"/>
        <v>-9.1484481607293215</v>
      </c>
    </row>
    <row r="137" spans="1:7" x14ac:dyDescent="0.25">
      <c r="A137" s="55" t="s">
        <v>30</v>
      </c>
      <c r="B137" s="55" t="s">
        <v>49</v>
      </c>
      <c r="C137" s="56" t="s">
        <v>207</v>
      </c>
      <c r="D137" s="86"/>
      <c r="E137" s="29"/>
      <c r="F137" s="29"/>
      <c r="G137" s="95" t="e">
        <f t="shared" si="38"/>
        <v>#DIV/0!</v>
      </c>
    </row>
    <row r="138" spans="1:7" x14ac:dyDescent="0.25">
      <c r="A138" s="55"/>
      <c r="B138" s="12" t="s">
        <v>194</v>
      </c>
      <c r="C138" s="53" t="s">
        <v>195</v>
      </c>
      <c r="D138" s="88">
        <f>7701+299</f>
        <v>8000</v>
      </c>
      <c r="E138" s="86">
        <f>'[1]BVC 2022 '!D138</f>
        <v>7335</v>
      </c>
      <c r="F138" s="101">
        <f t="shared" ref="F138:F139" si="59">E138-D138</f>
        <v>-665</v>
      </c>
      <c r="G138" s="95">
        <f t="shared" ref="G138:G201" si="60">F138/D138*100</f>
        <v>-8.3125</v>
      </c>
    </row>
    <row r="139" spans="1:7" x14ac:dyDescent="0.25">
      <c r="A139" s="55"/>
      <c r="B139" s="33" t="s">
        <v>196</v>
      </c>
      <c r="C139" s="54" t="s">
        <v>197</v>
      </c>
      <c r="D139" s="88">
        <f>7701+299</f>
        <v>8000</v>
      </c>
      <c r="E139" s="86">
        <f>'[1]BVC 2022 '!D139</f>
        <v>7335</v>
      </c>
      <c r="F139" s="101">
        <f t="shared" si="59"/>
        <v>-665</v>
      </c>
      <c r="G139" s="95">
        <f t="shared" si="60"/>
        <v>-8.3125</v>
      </c>
    </row>
    <row r="140" spans="1:7" x14ac:dyDescent="0.25">
      <c r="A140" s="15" t="s">
        <v>30</v>
      </c>
      <c r="B140" s="15" t="s">
        <v>50</v>
      </c>
      <c r="C140" s="42" t="s">
        <v>208</v>
      </c>
      <c r="D140" s="16"/>
      <c r="E140" s="16"/>
      <c r="F140" s="16"/>
      <c r="G140" s="95" t="e">
        <f t="shared" si="60"/>
        <v>#DIV/0!</v>
      </c>
    </row>
    <row r="141" spans="1:7" x14ac:dyDescent="0.25">
      <c r="A141" s="15"/>
      <c r="B141" s="15" t="s">
        <v>194</v>
      </c>
      <c r="C141" s="25" t="s">
        <v>195</v>
      </c>
      <c r="D141" s="16">
        <f t="shared" ref="D141:F142" si="61">D144</f>
        <v>13329</v>
      </c>
      <c r="E141" s="16">
        <f t="shared" si="61"/>
        <v>12490</v>
      </c>
      <c r="F141" s="16">
        <f t="shared" si="61"/>
        <v>-839</v>
      </c>
      <c r="G141" s="95">
        <f t="shared" si="60"/>
        <v>-6.2945457273613918</v>
      </c>
    </row>
    <row r="142" spans="1:7" x14ac:dyDescent="0.25">
      <c r="A142" s="15"/>
      <c r="B142" s="15" t="s">
        <v>196</v>
      </c>
      <c r="C142" s="25" t="s">
        <v>197</v>
      </c>
      <c r="D142" s="16">
        <f t="shared" si="61"/>
        <v>13329</v>
      </c>
      <c r="E142" s="16">
        <f t="shared" si="61"/>
        <v>12490</v>
      </c>
      <c r="F142" s="16">
        <f t="shared" si="61"/>
        <v>-839</v>
      </c>
      <c r="G142" s="95">
        <f t="shared" si="60"/>
        <v>-6.2945457273613918</v>
      </c>
    </row>
    <row r="143" spans="1:7" x14ac:dyDescent="0.25">
      <c r="A143" s="12" t="s">
        <v>30</v>
      </c>
      <c r="B143" s="12" t="s">
        <v>164</v>
      </c>
      <c r="C143" s="57" t="s">
        <v>165</v>
      </c>
      <c r="D143" s="58"/>
      <c r="E143" s="58"/>
      <c r="F143" s="58"/>
      <c r="G143" s="95" t="e">
        <f t="shared" si="60"/>
        <v>#DIV/0!</v>
      </c>
    </row>
    <row r="144" spans="1:7" x14ac:dyDescent="0.25">
      <c r="A144" s="12"/>
      <c r="B144" s="12" t="s">
        <v>194</v>
      </c>
      <c r="C144" s="53" t="s">
        <v>195</v>
      </c>
      <c r="D144" s="88">
        <f>12863+466</f>
        <v>13329</v>
      </c>
      <c r="E144" s="86">
        <f>'[1]BVC 2022 '!D144</f>
        <v>12490</v>
      </c>
      <c r="F144" s="101">
        <f t="shared" ref="F144:F145" si="62">E144-D144</f>
        <v>-839</v>
      </c>
      <c r="G144" s="95">
        <f t="shared" si="60"/>
        <v>-6.2945457273613918</v>
      </c>
    </row>
    <row r="145" spans="1:7" x14ac:dyDescent="0.25">
      <c r="A145" s="12"/>
      <c r="B145" s="33" t="s">
        <v>196</v>
      </c>
      <c r="C145" s="54" t="s">
        <v>197</v>
      </c>
      <c r="D145" s="88">
        <f>12863+466</f>
        <v>13329</v>
      </c>
      <c r="E145" s="86">
        <f>'[1]BVC 2022 '!D145</f>
        <v>12490</v>
      </c>
      <c r="F145" s="101">
        <f t="shared" si="62"/>
        <v>-839</v>
      </c>
      <c r="G145" s="95">
        <f t="shared" si="60"/>
        <v>-6.2945457273613918</v>
      </c>
    </row>
    <row r="146" spans="1:7" x14ac:dyDescent="0.25">
      <c r="A146" s="15" t="s">
        <v>30</v>
      </c>
      <c r="B146" s="15" t="s">
        <v>51</v>
      </c>
      <c r="C146" s="25" t="s">
        <v>209</v>
      </c>
      <c r="D146" s="27"/>
      <c r="E146" s="27"/>
      <c r="F146" s="27"/>
      <c r="G146" s="95" t="e">
        <f t="shared" si="60"/>
        <v>#DIV/0!</v>
      </c>
    </row>
    <row r="147" spans="1:7" x14ac:dyDescent="0.25">
      <c r="A147" s="15"/>
      <c r="B147" s="15" t="s">
        <v>194</v>
      </c>
      <c r="C147" s="25" t="s">
        <v>195</v>
      </c>
      <c r="D147" s="27">
        <f t="shared" ref="D147:F148" si="63">D150+D153+D156+D159+D162+D165+D168+D171</f>
        <v>15745</v>
      </c>
      <c r="E147" s="27">
        <f t="shared" si="63"/>
        <v>15567</v>
      </c>
      <c r="F147" s="27">
        <f t="shared" si="63"/>
        <v>-178</v>
      </c>
      <c r="G147" s="95">
        <f t="shared" si="60"/>
        <v>-1.1305176246427437</v>
      </c>
    </row>
    <row r="148" spans="1:7" x14ac:dyDescent="0.25">
      <c r="A148" s="15"/>
      <c r="B148" s="15" t="s">
        <v>196</v>
      </c>
      <c r="C148" s="25" t="s">
        <v>197</v>
      </c>
      <c r="D148" s="27">
        <f>D151+D154+D157+D160+D163+D166+D169+D172</f>
        <v>15745</v>
      </c>
      <c r="E148" s="27">
        <f t="shared" si="63"/>
        <v>15567</v>
      </c>
      <c r="F148" s="27">
        <f t="shared" si="63"/>
        <v>-178</v>
      </c>
      <c r="G148" s="95">
        <f t="shared" si="60"/>
        <v>-1.1305176246427437</v>
      </c>
    </row>
    <row r="149" spans="1:7" x14ac:dyDescent="0.25">
      <c r="A149" s="18" t="s">
        <v>30</v>
      </c>
      <c r="B149" s="18" t="s">
        <v>52</v>
      </c>
      <c r="C149" s="59" t="s">
        <v>210</v>
      </c>
      <c r="D149" s="60"/>
      <c r="E149" s="60"/>
      <c r="F149" s="60"/>
      <c r="G149" s="95" t="e">
        <f t="shared" si="60"/>
        <v>#DIV/0!</v>
      </c>
    </row>
    <row r="150" spans="1:7" x14ac:dyDescent="0.25">
      <c r="A150" s="18"/>
      <c r="B150" s="12" t="s">
        <v>194</v>
      </c>
      <c r="C150" s="53" t="s">
        <v>195</v>
      </c>
      <c r="D150" s="88">
        <f>650+29</f>
        <v>679</v>
      </c>
      <c r="E150" s="86">
        <f>'[1]BVC 2022 '!D150</f>
        <v>764</v>
      </c>
      <c r="F150" s="101">
        <f t="shared" ref="F150:F151" si="64">E150-D150</f>
        <v>85</v>
      </c>
      <c r="G150" s="95">
        <f t="shared" si="60"/>
        <v>12.51840942562592</v>
      </c>
    </row>
    <row r="151" spans="1:7" x14ac:dyDescent="0.25">
      <c r="A151" s="18"/>
      <c r="B151" s="33" t="s">
        <v>196</v>
      </c>
      <c r="C151" s="54" t="s">
        <v>197</v>
      </c>
      <c r="D151" s="88">
        <f>650+29</f>
        <v>679</v>
      </c>
      <c r="E151" s="86">
        <f>'[1]BVC 2022 '!D151</f>
        <v>764</v>
      </c>
      <c r="F151" s="101">
        <f t="shared" si="64"/>
        <v>85</v>
      </c>
      <c r="G151" s="95">
        <f t="shared" si="60"/>
        <v>12.51840942562592</v>
      </c>
    </row>
    <row r="152" spans="1:7" x14ac:dyDescent="0.25">
      <c r="A152" s="18" t="s">
        <v>30</v>
      </c>
      <c r="B152" s="18" t="s">
        <v>53</v>
      </c>
      <c r="C152" s="5" t="s">
        <v>54</v>
      </c>
      <c r="D152" s="88"/>
      <c r="E152" s="17"/>
      <c r="F152" s="17"/>
      <c r="G152" s="95" t="e">
        <f t="shared" si="60"/>
        <v>#DIV/0!</v>
      </c>
    </row>
    <row r="153" spans="1:7" x14ac:dyDescent="0.25">
      <c r="A153" s="18"/>
      <c r="B153" s="12" t="s">
        <v>194</v>
      </c>
      <c r="C153" s="53" t="s">
        <v>195</v>
      </c>
      <c r="D153" s="88">
        <f>25+7</f>
        <v>32</v>
      </c>
      <c r="E153" s="86">
        <f>'[1]BVC 2022 '!D153</f>
        <v>38</v>
      </c>
      <c r="F153" s="101">
        <f t="shared" ref="F153:F154" si="65">E153-D153</f>
        <v>6</v>
      </c>
      <c r="G153" s="95">
        <f t="shared" si="60"/>
        <v>18.75</v>
      </c>
    </row>
    <row r="154" spans="1:7" x14ac:dyDescent="0.25">
      <c r="A154" s="18"/>
      <c r="B154" s="33" t="s">
        <v>196</v>
      </c>
      <c r="C154" s="54" t="s">
        <v>197</v>
      </c>
      <c r="D154" s="88">
        <f>25+7</f>
        <v>32</v>
      </c>
      <c r="E154" s="86">
        <f>'[1]BVC 2022 '!D154</f>
        <v>38</v>
      </c>
      <c r="F154" s="101">
        <f t="shared" si="65"/>
        <v>6</v>
      </c>
      <c r="G154" s="95">
        <f t="shared" si="60"/>
        <v>18.75</v>
      </c>
    </row>
    <row r="155" spans="1:7" x14ac:dyDescent="0.25">
      <c r="A155" s="18" t="s">
        <v>30</v>
      </c>
      <c r="B155" s="18" t="s">
        <v>55</v>
      </c>
      <c r="C155" s="5" t="s">
        <v>56</v>
      </c>
      <c r="D155" s="88"/>
      <c r="E155" s="17"/>
      <c r="F155" s="17"/>
      <c r="G155" s="95" t="e">
        <f t="shared" si="60"/>
        <v>#DIV/0!</v>
      </c>
    </row>
    <row r="156" spans="1:7" x14ac:dyDescent="0.25">
      <c r="A156" s="18"/>
      <c r="B156" s="12" t="s">
        <v>194</v>
      </c>
      <c r="C156" s="53" t="s">
        <v>195</v>
      </c>
      <c r="D156" s="88">
        <f>214+10</f>
        <v>224</v>
      </c>
      <c r="E156" s="86">
        <f>'[1]BVC 2022 '!D156</f>
        <v>258</v>
      </c>
      <c r="F156" s="101">
        <f t="shared" ref="F156:F157" si="66">E156-D156</f>
        <v>34</v>
      </c>
      <c r="G156" s="95">
        <f t="shared" si="60"/>
        <v>15.178571428571427</v>
      </c>
    </row>
    <row r="157" spans="1:7" x14ac:dyDescent="0.25">
      <c r="A157" s="18"/>
      <c r="B157" s="33" t="s">
        <v>196</v>
      </c>
      <c r="C157" s="54" t="s">
        <v>197</v>
      </c>
      <c r="D157" s="88">
        <f>214+10</f>
        <v>224</v>
      </c>
      <c r="E157" s="86">
        <f>'[1]BVC 2022 '!D157</f>
        <v>258</v>
      </c>
      <c r="F157" s="101">
        <f t="shared" si="66"/>
        <v>34</v>
      </c>
      <c r="G157" s="95">
        <f t="shared" si="60"/>
        <v>15.178571428571427</v>
      </c>
    </row>
    <row r="158" spans="1:7" ht="25.5" x14ac:dyDescent="0.25">
      <c r="A158" s="18" t="s">
        <v>30</v>
      </c>
      <c r="B158" s="18" t="s">
        <v>57</v>
      </c>
      <c r="C158" s="5" t="s">
        <v>211</v>
      </c>
      <c r="D158" s="88"/>
      <c r="E158" s="17"/>
      <c r="F158" s="17"/>
      <c r="G158" s="95" t="e">
        <f t="shared" si="60"/>
        <v>#DIV/0!</v>
      </c>
    </row>
    <row r="159" spans="1:7" x14ac:dyDescent="0.25">
      <c r="A159" s="18"/>
      <c r="B159" s="12" t="s">
        <v>194</v>
      </c>
      <c r="C159" s="53" t="s">
        <v>195</v>
      </c>
      <c r="D159" s="88">
        <f>16+1</f>
        <v>17</v>
      </c>
      <c r="E159" s="86">
        <f>'[1]BVC 2022 '!D159</f>
        <v>18</v>
      </c>
      <c r="F159" s="101">
        <f t="shared" ref="F159:F160" si="67">E159-D159</f>
        <v>1</v>
      </c>
      <c r="G159" s="95">
        <f t="shared" si="60"/>
        <v>5.8823529411764701</v>
      </c>
    </row>
    <row r="160" spans="1:7" x14ac:dyDescent="0.25">
      <c r="A160" s="18"/>
      <c r="B160" s="33" t="s">
        <v>196</v>
      </c>
      <c r="C160" s="54" t="s">
        <v>197</v>
      </c>
      <c r="D160" s="88">
        <f>16+1</f>
        <v>17</v>
      </c>
      <c r="E160" s="86">
        <f>'[1]BVC 2022 '!D160</f>
        <v>18</v>
      </c>
      <c r="F160" s="101">
        <f t="shared" si="67"/>
        <v>1</v>
      </c>
      <c r="G160" s="95">
        <f t="shared" si="60"/>
        <v>5.8823529411764701</v>
      </c>
    </row>
    <row r="161" spans="1:8" hidden="1" x14ac:dyDescent="0.25">
      <c r="A161" s="18" t="s">
        <v>30</v>
      </c>
      <c r="B161" s="18" t="s">
        <v>169</v>
      </c>
      <c r="C161" s="5" t="s">
        <v>170</v>
      </c>
      <c r="D161" s="88"/>
      <c r="E161" s="17"/>
      <c r="F161" s="17"/>
      <c r="G161" s="95" t="e">
        <f t="shared" si="60"/>
        <v>#DIV/0!</v>
      </c>
    </row>
    <row r="162" spans="1:8" hidden="1" x14ac:dyDescent="0.25">
      <c r="A162" s="18"/>
      <c r="B162" s="12" t="s">
        <v>194</v>
      </c>
      <c r="C162" s="53" t="s">
        <v>195</v>
      </c>
      <c r="D162" s="88">
        <v>0</v>
      </c>
      <c r="E162" s="17">
        <v>0</v>
      </c>
      <c r="F162" s="17">
        <v>0</v>
      </c>
      <c r="G162" s="95" t="e">
        <f t="shared" si="60"/>
        <v>#DIV/0!</v>
      </c>
    </row>
    <row r="163" spans="1:8" hidden="1" x14ac:dyDescent="0.25">
      <c r="A163" s="18"/>
      <c r="B163" s="33" t="s">
        <v>196</v>
      </c>
      <c r="C163" s="54" t="s">
        <v>197</v>
      </c>
      <c r="D163" s="88">
        <v>0</v>
      </c>
      <c r="E163" s="17">
        <v>0</v>
      </c>
      <c r="F163" s="17">
        <v>0</v>
      </c>
      <c r="G163" s="95" t="e">
        <f t="shared" si="60"/>
        <v>#DIV/0!</v>
      </c>
    </row>
    <row r="164" spans="1:8" x14ac:dyDescent="0.25">
      <c r="A164" s="18" t="s">
        <v>30</v>
      </c>
      <c r="B164" s="18" t="s">
        <v>58</v>
      </c>
      <c r="C164" s="5" t="s">
        <v>212</v>
      </c>
      <c r="D164" s="88"/>
      <c r="E164" s="17"/>
      <c r="F164" s="17"/>
      <c r="G164" s="95" t="e">
        <f t="shared" si="60"/>
        <v>#DIV/0!</v>
      </c>
    </row>
    <row r="165" spans="1:8" x14ac:dyDescent="0.25">
      <c r="A165" s="18"/>
      <c r="B165" s="12" t="s">
        <v>194</v>
      </c>
      <c r="C165" s="53" t="s">
        <v>195</v>
      </c>
      <c r="D165" s="88">
        <f>40+2</f>
        <v>42</v>
      </c>
      <c r="E165" s="86">
        <f>'[1]BVC 2022 '!D165</f>
        <v>44</v>
      </c>
      <c r="F165" s="101">
        <f t="shared" ref="F165:F166" si="68">E165-D165</f>
        <v>2</v>
      </c>
      <c r="G165" s="95">
        <f t="shared" si="60"/>
        <v>4.7619047619047619</v>
      </c>
    </row>
    <row r="166" spans="1:8" x14ac:dyDescent="0.25">
      <c r="A166" s="18"/>
      <c r="B166" s="33" t="s">
        <v>196</v>
      </c>
      <c r="C166" s="54" t="s">
        <v>197</v>
      </c>
      <c r="D166" s="88">
        <f>40+2</f>
        <v>42</v>
      </c>
      <c r="E166" s="86">
        <f>'[1]BVC 2022 '!D166</f>
        <v>44</v>
      </c>
      <c r="F166" s="101">
        <f t="shared" si="68"/>
        <v>2</v>
      </c>
      <c r="G166" s="95">
        <f t="shared" si="60"/>
        <v>4.7619047619047619</v>
      </c>
    </row>
    <row r="167" spans="1:8" x14ac:dyDescent="0.25">
      <c r="A167" s="12" t="s">
        <v>30</v>
      </c>
      <c r="B167" s="12" t="s">
        <v>162</v>
      </c>
      <c r="C167" s="61" t="s">
        <v>163</v>
      </c>
      <c r="D167" s="131"/>
      <c r="E167" s="62"/>
      <c r="F167" s="62"/>
      <c r="G167" s="95" t="e">
        <f t="shared" si="60"/>
        <v>#DIV/0!</v>
      </c>
    </row>
    <row r="168" spans="1:8" x14ac:dyDescent="0.25">
      <c r="A168" s="12"/>
      <c r="B168" s="12" t="s">
        <v>194</v>
      </c>
      <c r="C168" s="53" t="s">
        <v>195</v>
      </c>
      <c r="D168" s="88">
        <f>14873-122</f>
        <v>14751</v>
      </c>
      <c r="E168" s="86">
        <f>'[1]BVC 2022 '!D168</f>
        <v>14313</v>
      </c>
      <c r="F168" s="101">
        <f t="shared" ref="F168:F169" si="69">E168-D168</f>
        <v>-438</v>
      </c>
      <c r="G168" s="95">
        <f t="shared" si="60"/>
        <v>-2.9692902176123654</v>
      </c>
    </row>
    <row r="169" spans="1:8" x14ac:dyDescent="0.25">
      <c r="A169" s="12"/>
      <c r="B169" s="33" t="s">
        <v>196</v>
      </c>
      <c r="C169" s="54" t="s">
        <v>197</v>
      </c>
      <c r="D169" s="88">
        <f>14873-122</f>
        <v>14751</v>
      </c>
      <c r="E169" s="86">
        <f>'[1]BVC 2022 '!D169</f>
        <v>14313</v>
      </c>
      <c r="F169" s="101">
        <f t="shared" si="69"/>
        <v>-438</v>
      </c>
      <c r="G169" s="95">
        <f t="shared" si="60"/>
        <v>-2.9692902176123654</v>
      </c>
    </row>
    <row r="170" spans="1:8" x14ac:dyDescent="0.25">
      <c r="A170" s="12" t="s">
        <v>30</v>
      </c>
      <c r="B170" s="12" t="s">
        <v>171</v>
      </c>
      <c r="C170" s="61" t="s">
        <v>172</v>
      </c>
      <c r="D170" s="62"/>
      <c r="E170" s="62"/>
      <c r="F170" s="62"/>
      <c r="G170" s="95" t="e">
        <f t="shared" si="60"/>
        <v>#DIV/0!</v>
      </c>
    </row>
    <row r="171" spans="1:8" x14ac:dyDescent="0.25">
      <c r="A171" s="12"/>
      <c r="B171" s="12" t="s">
        <v>194</v>
      </c>
      <c r="C171" s="53" t="s">
        <v>195</v>
      </c>
      <c r="D171" s="17">
        <v>0</v>
      </c>
      <c r="E171" s="86">
        <f>'[1]BVC 2022 '!D171</f>
        <v>132</v>
      </c>
      <c r="F171" s="101">
        <f t="shared" ref="F171:F172" si="70">E171-D171</f>
        <v>132</v>
      </c>
      <c r="G171" s="95" t="e">
        <f t="shared" si="60"/>
        <v>#DIV/0!</v>
      </c>
    </row>
    <row r="172" spans="1:8" x14ac:dyDescent="0.25">
      <c r="A172" s="12"/>
      <c r="B172" s="33" t="s">
        <v>196</v>
      </c>
      <c r="C172" s="54" t="s">
        <v>197</v>
      </c>
      <c r="D172" s="17">
        <v>0</v>
      </c>
      <c r="E172" s="86">
        <f>'[1]BVC 2022 '!D172</f>
        <v>132</v>
      </c>
      <c r="F172" s="101">
        <f t="shared" si="70"/>
        <v>132</v>
      </c>
      <c r="G172" s="95" t="e">
        <f t="shared" si="60"/>
        <v>#DIV/0!</v>
      </c>
    </row>
    <row r="173" spans="1:8" x14ac:dyDescent="0.25">
      <c r="A173" s="15" t="s">
        <v>30</v>
      </c>
      <c r="B173" s="43">
        <v>20</v>
      </c>
      <c r="C173" s="25" t="s">
        <v>213</v>
      </c>
      <c r="D173" s="27"/>
      <c r="E173" s="27"/>
      <c r="F173" s="27"/>
      <c r="G173" s="95" t="e">
        <f t="shared" si="60"/>
        <v>#DIV/0!</v>
      </c>
    </row>
    <row r="174" spans="1:8" x14ac:dyDescent="0.25">
      <c r="A174" s="15"/>
      <c r="B174" s="15" t="s">
        <v>194</v>
      </c>
      <c r="C174" s="25" t="s">
        <v>195</v>
      </c>
      <c r="D174" s="27">
        <f t="shared" ref="D174:F175" si="71">D177+D213+D210+D219+D234+D246+D255+D258+D261+D264+D267+D270+D273+D276+D279+D285+D288</f>
        <v>319278</v>
      </c>
      <c r="E174" s="27">
        <f t="shared" si="71"/>
        <v>363856</v>
      </c>
      <c r="F174" s="27">
        <f>F177+F213+F210+F219+F234+F246+F255+F258+F261+F264+F267+F270+F273+F276+F279+F285+F288</f>
        <v>44578</v>
      </c>
      <c r="G174" s="95">
        <f t="shared" si="60"/>
        <v>13.962127049154654</v>
      </c>
      <c r="H174" s="129">
        <f>F174-F175</f>
        <v>0</v>
      </c>
    </row>
    <row r="175" spans="1:8" x14ac:dyDescent="0.25">
      <c r="A175" s="15"/>
      <c r="B175" s="15" t="s">
        <v>196</v>
      </c>
      <c r="C175" s="25" t="s">
        <v>197</v>
      </c>
      <c r="D175" s="27">
        <f>D178+D214+D211+D220+D235+D247+D256+D259+D262+D265+D268+D271+D274+D277+D280+D286+D289</f>
        <v>319278</v>
      </c>
      <c r="E175" s="27">
        <f t="shared" si="71"/>
        <v>363856</v>
      </c>
      <c r="F175" s="27">
        <f t="shared" si="71"/>
        <v>44578</v>
      </c>
      <c r="G175" s="95">
        <f t="shared" si="60"/>
        <v>13.962127049154654</v>
      </c>
    </row>
    <row r="176" spans="1:8" x14ac:dyDescent="0.25">
      <c r="A176" s="15" t="s">
        <v>30</v>
      </c>
      <c r="B176" s="43" t="s">
        <v>59</v>
      </c>
      <c r="C176" s="2" t="s">
        <v>214</v>
      </c>
      <c r="D176" s="16"/>
      <c r="E176" s="16"/>
      <c r="F176" s="16"/>
      <c r="G176" s="95" t="e">
        <f t="shared" si="60"/>
        <v>#DIV/0!</v>
      </c>
    </row>
    <row r="177" spans="1:7" x14ac:dyDescent="0.25">
      <c r="A177" s="15"/>
      <c r="B177" s="15" t="s">
        <v>194</v>
      </c>
      <c r="C177" s="25" t="s">
        <v>195</v>
      </c>
      <c r="D177" s="16">
        <f t="shared" ref="D177:F178" si="72">D180+D183+D186+D189+D192+D195+D198+D201+D204+D207</f>
        <v>113302</v>
      </c>
      <c r="E177" s="16">
        <f t="shared" si="72"/>
        <v>127464</v>
      </c>
      <c r="F177" s="16">
        <f t="shared" si="72"/>
        <v>14162</v>
      </c>
      <c r="G177" s="95">
        <f t="shared" si="60"/>
        <v>12.499338052285044</v>
      </c>
    </row>
    <row r="178" spans="1:7" x14ac:dyDescent="0.25">
      <c r="A178" s="15"/>
      <c r="B178" s="15" t="s">
        <v>196</v>
      </c>
      <c r="C178" s="25" t="s">
        <v>197</v>
      </c>
      <c r="D178" s="16">
        <f t="shared" si="72"/>
        <v>113302</v>
      </c>
      <c r="E178" s="16">
        <f t="shared" si="72"/>
        <v>127464</v>
      </c>
      <c r="F178" s="16">
        <f t="shared" si="72"/>
        <v>14162</v>
      </c>
      <c r="G178" s="95">
        <f t="shared" si="60"/>
        <v>12.499338052285044</v>
      </c>
    </row>
    <row r="179" spans="1:7" x14ac:dyDescent="0.25">
      <c r="A179" s="18" t="s">
        <v>30</v>
      </c>
      <c r="B179" s="11" t="s">
        <v>60</v>
      </c>
      <c r="C179" s="5" t="s">
        <v>61</v>
      </c>
      <c r="D179" s="63"/>
      <c r="E179" s="63"/>
      <c r="F179" s="63"/>
      <c r="G179" s="95" t="e">
        <f t="shared" si="60"/>
        <v>#DIV/0!</v>
      </c>
    </row>
    <row r="180" spans="1:7" x14ac:dyDescent="0.25">
      <c r="A180" s="18"/>
      <c r="B180" s="12" t="s">
        <v>194</v>
      </c>
      <c r="C180" s="53" t="s">
        <v>195</v>
      </c>
      <c r="D180" s="88">
        <f>1273+103</f>
        <v>1376</v>
      </c>
      <c r="E180" s="86">
        <f>'[1]BVC 2022 '!D180</f>
        <v>1570</v>
      </c>
      <c r="F180" s="101">
        <f t="shared" ref="F180:F181" si="73">E180-D180</f>
        <v>194</v>
      </c>
      <c r="G180" s="95">
        <f t="shared" si="60"/>
        <v>14.098837209302326</v>
      </c>
    </row>
    <row r="181" spans="1:7" x14ac:dyDescent="0.25">
      <c r="A181" s="18"/>
      <c r="B181" s="33" t="s">
        <v>196</v>
      </c>
      <c r="C181" s="54" t="s">
        <v>197</v>
      </c>
      <c r="D181" s="88">
        <f>1273+103</f>
        <v>1376</v>
      </c>
      <c r="E181" s="86">
        <f>'[1]BVC 2022 '!D181</f>
        <v>1570</v>
      </c>
      <c r="F181" s="101">
        <f t="shared" si="73"/>
        <v>194</v>
      </c>
      <c r="G181" s="95">
        <f t="shared" si="60"/>
        <v>14.098837209302326</v>
      </c>
    </row>
    <row r="182" spans="1:7" x14ac:dyDescent="0.25">
      <c r="A182" s="18" t="s">
        <v>30</v>
      </c>
      <c r="B182" s="11" t="s">
        <v>62</v>
      </c>
      <c r="C182" s="5" t="s">
        <v>215</v>
      </c>
      <c r="D182" s="134"/>
      <c r="E182" s="63"/>
      <c r="F182" s="63"/>
      <c r="G182" s="95" t="e">
        <f t="shared" si="60"/>
        <v>#DIV/0!</v>
      </c>
    </row>
    <row r="183" spans="1:7" x14ac:dyDescent="0.25">
      <c r="A183" s="18"/>
      <c r="B183" s="12" t="s">
        <v>194</v>
      </c>
      <c r="C183" s="53" t="s">
        <v>195</v>
      </c>
      <c r="D183" s="88">
        <f>662+45</f>
        <v>707</v>
      </c>
      <c r="E183" s="86">
        <f>'[1]BVC 2022 '!D183</f>
        <v>820</v>
      </c>
      <c r="F183" s="101">
        <f t="shared" ref="F183:F184" si="74">E183-D183</f>
        <v>113</v>
      </c>
      <c r="G183" s="95">
        <f t="shared" si="60"/>
        <v>15.983026874115982</v>
      </c>
    </row>
    <row r="184" spans="1:7" x14ac:dyDescent="0.25">
      <c r="A184" s="18"/>
      <c r="B184" s="33" t="s">
        <v>196</v>
      </c>
      <c r="C184" s="54" t="s">
        <v>197</v>
      </c>
      <c r="D184" s="88">
        <f>662+45</f>
        <v>707</v>
      </c>
      <c r="E184" s="86">
        <f>'[1]BVC 2022 '!D184</f>
        <v>820</v>
      </c>
      <c r="F184" s="101">
        <f t="shared" si="74"/>
        <v>113</v>
      </c>
      <c r="G184" s="95">
        <f t="shared" si="60"/>
        <v>15.983026874115982</v>
      </c>
    </row>
    <row r="185" spans="1:7" x14ac:dyDescent="0.25">
      <c r="A185" s="18" t="s">
        <v>30</v>
      </c>
      <c r="B185" s="11" t="s">
        <v>63</v>
      </c>
      <c r="C185" s="5" t="s">
        <v>216</v>
      </c>
      <c r="D185" s="134"/>
      <c r="E185" s="63"/>
      <c r="F185" s="63"/>
      <c r="G185" s="95" t="e">
        <f t="shared" si="60"/>
        <v>#DIV/0!</v>
      </c>
    </row>
    <row r="186" spans="1:7" x14ac:dyDescent="0.25">
      <c r="A186" s="18"/>
      <c r="B186" s="12" t="s">
        <v>194</v>
      </c>
      <c r="C186" s="53" t="s">
        <v>195</v>
      </c>
      <c r="D186" s="88">
        <f>34700-2852</f>
        <v>31848</v>
      </c>
      <c r="E186" s="86">
        <f>'[1]BVC 2022 '!D186</f>
        <v>34222</v>
      </c>
      <c r="F186" s="101">
        <f t="shared" ref="F186:F187" si="75">E186-D186</f>
        <v>2374</v>
      </c>
      <c r="G186" s="95">
        <f t="shared" si="60"/>
        <v>7.4541572469228834</v>
      </c>
    </row>
    <row r="187" spans="1:7" x14ac:dyDescent="0.25">
      <c r="A187" s="18"/>
      <c r="B187" s="33" t="s">
        <v>196</v>
      </c>
      <c r="C187" s="54" t="s">
        <v>197</v>
      </c>
      <c r="D187" s="88">
        <f>34700-2852</f>
        <v>31848</v>
      </c>
      <c r="E187" s="86">
        <f>'[1]BVC 2022 '!D187</f>
        <v>34222</v>
      </c>
      <c r="F187" s="101">
        <f t="shared" si="75"/>
        <v>2374</v>
      </c>
      <c r="G187" s="95">
        <f t="shared" si="60"/>
        <v>7.4541572469228834</v>
      </c>
    </row>
    <row r="188" spans="1:7" x14ac:dyDescent="0.25">
      <c r="A188" s="18" t="s">
        <v>30</v>
      </c>
      <c r="B188" s="11" t="s">
        <v>64</v>
      </c>
      <c r="C188" s="5" t="s">
        <v>217</v>
      </c>
      <c r="D188" s="134"/>
      <c r="E188" s="63"/>
      <c r="F188" s="63"/>
      <c r="G188" s="95" t="e">
        <f t="shared" si="60"/>
        <v>#DIV/0!</v>
      </c>
    </row>
    <row r="189" spans="1:7" x14ac:dyDescent="0.25">
      <c r="A189" s="18"/>
      <c r="B189" s="12" t="s">
        <v>194</v>
      </c>
      <c r="C189" s="53" t="s">
        <v>195</v>
      </c>
      <c r="D189" s="88">
        <f>1584+48</f>
        <v>1632</v>
      </c>
      <c r="E189" s="86">
        <f>'[1]BVC 2022 '!D189</f>
        <v>1764</v>
      </c>
      <c r="F189" s="101">
        <f t="shared" ref="F189:F190" si="76">E189-D189</f>
        <v>132</v>
      </c>
      <c r="G189" s="95">
        <f t="shared" si="60"/>
        <v>8.0882352941176467</v>
      </c>
    </row>
    <row r="190" spans="1:7" x14ac:dyDescent="0.25">
      <c r="A190" s="18"/>
      <c r="B190" s="33" t="s">
        <v>196</v>
      </c>
      <c r="C190" s="54" t="s">
        <v>197</v>
      </c>
      <c r="D190" s="88">
        <f>1584+48</f>
        <v>1632</v>
      </c>
      <c r="E190" s="86">
        <f>'[1]BVC 2022 '!D190</f>
        <v>1764</v>
      </c>
      <c r="F190" s="101">
        <f t="shared" si="76"/>
        <v>132</v>
      </c>
      <c r="G190" s="95">
        <f t="shared" si="60"/>
        <v>8.0882352941176467</v>
      </c>
    </row>
    <row r="191" spans="1:7" x14ac:dyDescent="0.25">
      <c r="A191" s="18" t="s">
        <v>30</v>
      </c>
      <c r="B191" s="11" t="s">
        <v>65</v>
      </c>
      <c r="C191" s="5" t="s">
        <v>218</v>
      </c>
      <c r="D191" s="63"/>
      <c r="E191" s="63"/>
      <c r="F191" s="63"/>
      <c r="G191" s="95" t="e">
        <f t="shared" si="60"/>
        <v>#DIV/0!</v>
      </c>
    </row>
    <row r="192" spans="1:7" x14ac:dyDescent="0.25">
      <c r="A192" s="18"/>
      <c r="B192" s="12" t="s">
        <v>194</v>
      </c>
      <c r="C192" s="53" t="s">
        <v>195</v>
      </c>
      <c r="D192" s="88">
        <f>21737+500-221-279+1034</f>
        <v>22771</v>
      </c>
      <c r="E192" s="86">
        <f>'[1]BVC 2022 '!D192</f>
        <v>28511</v>
      </c>
      <c r="F192" s="101">
        <f t="shared" ref="F192:F193" si="77">E192-D192</f>
        <v>5740</v>
      </c>
      <c r="G192" s="95">
        <f t="shared" si="60"/>
        <v>25.207500768521363</v>
      </c>
    </row>
    <row r="193" spans="1:7" x14ac:dyDescent="0.25">
      <c r="A193" s="18"/>
      <c r="B193" s="33" t="s">
        <v>196</v>
      </c>
      <c r="C193" s="54" t="s">
        <v>197</v>
      </c>
      <c r="D193" s="88">
        <f>21737+500-221-279+1034</f>
        <v>22771</v>
      </c>
      <c r="E193" s="86">
        <f>'[1]BVC 2022 '!D193</f>
        <v>28511</v>
      </c>
      <c r="F193" s="101">
        <f t="shared" si="77"/>
        <v>5740</v>
      </c>
      <c r="G193" s="95">
        <f t="shared" si="60"/>
        <v>25.207500768521363</v>
      </c>
    </row>
    <row r="194" spans="1:7" x14ac:dyDescent="0.25">
      <c r="A194" s="18" t="s">
        <v>30</v>
      </c>
      <c r="B194" s="11" t="s">
        <v>66</v>
      </c>
      <c r="C194" s="5" t="s">
        <v>67</v>
      </c>
      <c r="D194" s="134"/>
      <c r="E194" s="63"/>
      <c r="F194" s="63"/>
      <c r="G194" s="95" t="e">
        <f t="shared" si="60"/>
        <v>#DIV/0!</v>
      </c>
    </row>
    <row r="195" spans="1:7" x14ac:dyDescent="0.25">
      <c r="A195" s="18"/>
      <c r="B195" s="12" t="s">
        <v>194</v>
      </c>
      <c r="C195" s="53" t="s">
        <v>195</v>
      </c>
      <c r="D195" s="88">
        <f>11624-392</f>
        <v>11232</v>
      </c>
      <c r="E195" s="86">
        <f>'[1]BVC 2022 '!D195</f>
        <v>12173</v>
      </c>
      <c r="F195" s="101">
        <f t="shared" ref="F195:F196" si="78">E195-D195</f>
        <v>941</v>
      </c>
      <c r="G195" s="95">
        <f t="shared" si="60"/>
        <v>8.3778490028490022</v>
      </c>
    </row>
    <row r="196" spans="1:7" x14ac:dyDescent="0.25">
      <c r="A196" s="18"/>
      <c r="B196" s="33" t="s">
        <v>196</v>
      </c>
      <c r="C196" s="54" t="s">
        <v>197</v>
      </c>
      <c r="D196" s="88">
        <f>11624-392</f>
        <v>11232</v>
      </c>
      <c r="E196" s="86">
        <f>'[1]BVC 2022 '!D196</f>
        <v>12173</v>
      </c>
      <c r="F196" s="101">
        <f t="shared" si="78"/>
        <v>941</v>
      </c>
      <c r="G196" s="95">
        <f t="shared" si="60"/>
        <v>8.3778490028490022</v>
      </c>
    </row>
    <row r="197" spans="1:7" x14ac:dyDescent="0.25">
      <c r="A197" s="18" t="s">
        <v>30</v>
      </c>
      <c r="B197" s="11" t="s">
        <v>68</v>
      </c>
      <c r="C197" s="5" t="s">
        <v>69</v>
      </c>
      <c r="D197" s="134"/>
      <c r="E197" s="63"/>
      <c r="F197" s="63"/>
      <c r="G197" s="95" t="e">
        <f t="shared" si="60"/>
        <v>#DIV/0!</v>
      </c>
    </row>
    <row r="198" spans="1:7" x14ac:dyDescent="0.25">
      <c r="A198" s="18"/>
      <c r="B198" s="12" t="s">
        <v>194</v>
      </c>
      <c r="C198" s="53" t="s">
        <v>195</v>
      </c>
      <c r="D198" s="88">
        <f>261+12</f>
        <v>273</v>
      </c>
      <c r="E198" s="86">
        <f>'[1]BVC 2022 '!D198</f>
        <v>299</v>
      </c>
      <c r="F198" s="101">
        <f t="shared" ref="F198:F199" si="79">E198-D198</f>
        <v>26</v>
      </c>
      <c r="G198" s="95">
        <f t="shared" si="60"/>
        <v>9.5238095238095237</v>
      </c>
    </row>
    <row r="199" spans="1:7" x14ac:dyDescent="0.25">
      <c r="A199" s="18"/>
      <c r="B199" s="33" t="s">
        <v>196</v>
      </c>
      <c r="C199" s="54" t="s">
        <v>197</v>
      </c>
      <c r="D199" s="88">
        <f>261+12</f>
        <v>273</v>
      </c>
      <c r="E199" s="86">
        <f>'[1]BVC 2022 '!D199</f>
        <v>299</v>
      </c>
      <c r="F199" s="101">
        <f t="shared" si="79"/>
        <v>26</v>
      </c>
      <c r="G199" s="95">
        <f t="shared" si="60"/>
        <v>9.5238095238095237</v>
      </c>
    </row>
    <row r="200" spans="1:7" x14ac:dyDescent="0.25">
      <c r="A200" s="18" t="s">
        <v>30</v>
      </c>
      <c r="B200" s="11" t="s">
        <v>70</v>
      </c>
      <c r="C200" s="5" t="s">
        <v>219</v>
      </c>
      <c r="D200" s="134"/>
      <c r="E200" s="63"/>
      <c r="F200" s="63"/>
      <c r="G200" s="95" t="e">
        <f t="shared" si="60"/>
        <v>#DIV/0!</v>
      </c>
    </row>
    <row r="201" spans="1:7" x14ac:dyDescent="0.25">
      <c r="A201" s="18"/>
      <c r="B201" s="12" t="s">
        <v>194</v>
      </c>
      <c r="C201" s="53" t="s">
        <v>195</v>
      </c>
      <c r="D201" s="88">
        <f>5151+253</f>
        <v>5404</v>
      </c>
      <c r="E201" s="86">
        <f>'[1]BVC 2022 '!D201</f>
        <v>5547</v>
      </c>
      <c r="F201" s="101">
        <f t="shared" ref="F201:F202" si="80">E201-D201</f>
        <v>143</v>
      </c>
      <c r="G201" s="95">
        <f t="shared" si="60"/>
        <v>2.6461880088823095</v>
      </c>
    </row>
    <row r="202" spans="1:7" x14ac:dyDescent="0.25">
      <c r="A202" s="18"/>
      <c r="B202" s="33" t="s">
        <v>196</v>
      </c>
      <c r="C202" s="54" t="s">
        <v>197</v>
      </c>
      <c r="D202" s="88">
        <f>5151+253</f>
        <v>5404</v>
      </c>
      <c r="E202" s="86">
        <f>'[1]BVC 2022 '!D202</f>
        <v>5547</v>
      </c>
      <c r="F202" s="101">
        <f t="shared" si="80"/>
        <v>143</v>
      </c>
      <c r="G202" s="95">
        <f t="shared" ref="G202:G265" si="81">F202/D202*100</f>
        <v>2.6461880088823095</v>
      </c>
    </row>
    <row r="203" spans="1:7" x14ac:dyDescent="0.25">
      <c r="A203" s="18" t="s">
        <v>30</v>
      </c>
      <c r="B203" s="11" t="s">
        <v>71</v>
      </c>
      <c r="C203" s="5" t="s">
        <v>220</v>
      </c>
      <c r="D203" s="134"/>
      <c r="E203" s="63"/>
      <c r="F203" s="63"/>
      <c r="G203" s="95" t="e">
        <f t="shared" si="81"/>
        <v>#DIV/0!</v>
      </c>
    </row>
    <row r="204" spans="1:7" x14ac:dyDescent="0.25">
      <c r="A204" s="18"/>
      <c r="B204" s="12" t="s">
        <v>194</v>
      </c>
      <c r="C204" s="53" t="s">
        <v>195</v>
      </c>
      <c r="D204" s="88">
        <f>15568+563-221-342+344</f>
        <v>15912</v>
      </c>
      <c r="E204" s="86">
        <f>'[1]BVC 2022 '!D204</f>
        <v>17592</v>
      </c>
      <c r="F204" s="101">
        <f t="shared" ref="F204:F205" si="82">E204-D204</f>
        <v>1680</v>
      </c>
      <c r="G204" s="95">
        <f t="shared" si="81"/>
        <v>10.558069381598793</v>
      </c>
    </row>
    <row r="205" spans="1:7" x14ac:dyDescent="0.25">
      <c r="A205" s="18"/>
      <c r="B205" s="33" t="s">
        <v>196</v>
      </c>
      <c r="C205" s="54" t="s">
        <v>197</v>
      </c>
      <c r="D205" s="88">
        <f>15568+563-221-342+344</f>
        <v>15912</v>
      </c>
      <c r="E205" s="86">
        <f>'[1]BVC 2022 '!D205</f>
        <v>17592</v>
      </c>
      <c r="F205" s="101">
        <f t="shared" si="82"/>
        <v>1680</v>
      </c>
      <c r="G205" s="95">
        <f t="shared" si="81"/>
        <v>10.558069381598793</v>
      </c>
    </row>
    <row r="206" spans="1:7" x14ac:dyDescent="0.25">
      <c r="A206" s="18" t="s">
        <v>30</v>
      </c>
      <c r="B206" s="11" t="s">
        <v>72</v>
      </c>
      <c r="C206" s="5" t="s">
        <v>221</v>
      </c>
      <c r="D206" s="63"/>
      <c r="E206" s="63"/>
      <c r="F206" s="63"/>
      <c r="G206" s="95" t="e">
        <f t="shared" si="81"/>
        <v>#DIV/0!</v>
      </c>
    </row>
    <row r="207" spans="1:7" x14ac:dyDescent="0.25">
      <c r="A207" s="18"/>
      <c r="B207" s="12" t="s">
        <v>194</v>
      </c>
      <c r="C207" s="53" t="s">
        <v>195</v>
      </c>
      <c r="D207" s="88">
        <f>21408+739</f>
        <v>22147</v>
      </c>
      <c r="E207" s="86">
        <f>'[1]BVC 2022 '!D207</f>
        <v>24966</v>
      </c>
      <c r="F207" s="101">
        <f t="shared" ref="F207:F208" si="83">E207-D207</f>
        <v>2819</v>
      </c>
      <c r="G207" s="95">
        <f t="shared" si="81"/>
        <v>12.728586264505351</v>
      </c>
    </row>
    <row r="208" spans="1:7" x14ac:dyDescent="0.25">
      <c r="A208" s="18"/>
      <c r="B208" s="33" t="s">
        <v>196</v>
      </c>
      <c r="C208" s="54" t="s">
        <v>197</v>
      </c>
      <c r="D208" s="88">
        <f>21408+739</f>
        <v>22147</v>
      </c>
      <c r="E208" s="86">
        <f>'[1]BVC 2022 '!D208</f>
        <v>24966</v>
      </c>
      <c r="F208" s="101">
        <f t="shared" si="83"/>
        <v>2819</v>
      </c>
      <c r="G208" s="95">
        <f t="shared" si="81"/>
        <v>12.728586264505351</v>
      </c>
    </row>
    <row r="209" spans="1:7" x14ac:dyDescent="0.25">
      <c r="A209" s="28" t="s">
        <v>30</v>
      </c>
      <c r="B209" s="44" t="s">
        <v>73</v>
      </c>
      <c r="C209" s="6" t="s">
        <v>222</v>
      </c>
      <c r="D209" s="20"/>
      <c r="E209" s="20"/>
      <c r="F209" s="20"/>
      <c r="G209" s="95" t="e">
        <f t="shared" si="81"/>
        <v>#DIV/0!</v>
      </c>
    </row>
    <row r="210" spans="1:7" x14ac:dyDescent="0.25">
      <c r="A210" s="28"/>
      <c r="B210" s="15" t="s">
        <v>194</v>
      </c>
      <c r="C210" s="25" t="s">
        <v>195</v>
      </c>
      <c r="D210" s="16">
        <f>20317+1500-1500+741</f>
        <v>21058</v>
      </c>
      <c r="E210" s="16">
        <f>'[1]BVC 2022 '!D210</f>
        <v>23765</v>
      </c>
      <c r="F210" s="16">
        <f t="shared" ref="F210:F211" si="84">E210-D210</f>
        <v>2707</v>
      </c>
      <c r="G210" s="95">
        <f t="shared" si="81"/>
        <v>12.854971982144553</v>
      </c>
    </row>
    <row r="211" spans="1:7" x14ac:dyDescent="0.25">
      <c r="A211" s="28"/>
      <c r="B211" s="15" t="s">
        <v>196</v>
      </c>
      <c r="C211" s="25" t="s">
        <v>197</v>
      </c>
      <c r="D211" s="16">
        <f>20317+1500-1500+741</f>
        <v>21058</v>
      </c>
      <c r="E211" s="16">
        <f>'[1]BVC 2022 '!D211</f>
        <v>23765</v>
      </c>
      <c r="F211" s="16">
        <f t="shared" si="84"/>
        <v>2707</v>
      </c>
      <c r="G211" s="95">
        <f t="shared" si="81"/>
        <v>12.854971982144553</v>
      </c>
    </row>
    <row r="212" spans="1:7" x14ac:dyDescent="0.25">
      <c r="A212" s="15" t="s">
        <v>30</v>
      </c>
      <c r="B212" s="45" t="s">
        <v>74</v>
      </c>
      <c r="C212" s="2" t="s">
        <v>223</v>
      </c>
      <c r="D212" s="16"/>
      <c r="E212" s="16"/>
      <c r="F212" s="16"/>
      <c r="G212" s="95" t="e">
        <f t="shared" si="81"/>
        <v>#DIV/0!</v>
      </c>
    </row>
    <row r="213" spans="1:7" x14ac:dyDescent="0.25">
      <c r="A213" s="15"/>
      <c r="B213" s="15" t="s">
        <v>194</v>
      </c>
      <c r="C213" s="25" t="s">
        <v>195</v>
      </c>
      <c r="D213" s="16">
        <f t="shared" ref="D213:F214" si="85">D216</f>
        <v>426</v>
      </c>
      <c r="E213" s="16">
        <f t="shared" si="85"/>
        <v>421</v>
      </c>
      <c r="F213" s="16">
        <f t="shared" si="85"/>
        <v>-5</v>
      </c>
      <c r="G213" s="95">
        <f t="shared" si="81"/>
        <v>-1.1737089201877933</v>
      </c>
    </row>
    <row r="214" spans="1:7" x14ac:dyDescent="0.25">
      <c r="A214" s="15"/>
      <c r="B214" s="15" t="s">
        <v>196</v>
      </c>
      <c r="C214" s="25" t="s">
        <v>197</v>
      </c>
      <c r="D214" s="20">
        <f t="shared" si="85"/>
        <v>426</v>
      </c>
      <c r="E214" s="20">
        <f t="shared" si="85"/>
        <v>421</v>
      </c>
      <c r="F214" s="20">
        <f t="shared" si="85"/>
        <v>-5</v>
      </c>
      <c r="G214" s="95">
        <f t="shared" si="81"/>
        <v>-1.1737089201877933</v>
      </c>
    </row>
    <row r="215" spans="1:7" x14ac:dyDescent="0.25">
      <c r="A215" s="18" t="s">
        <v>30</v>
      </c>
      <c r="B215" s="11" t="s">
        <v>75</v>
      </c>
      <c r="C215" s="5" t="s">
        <v>224</v>
      </c>
      <c r="D215" s="17"/>
      <c r="E215" s="17"/>
      <c r="F215" s="17"/>
      <c r="G215" s="95" t="e">
        <f t="shared" si="81"/>
        <v>#DIV/0!</v>
      </c>
    </row>
    <row r="216" spans="1:7" x14ac:dyDescent="0.25">
      <c r="A216" s="18"/>
      <c r="B216" s="12" t="s">
        <v>194</v>
      </c>
      <c r="C216" s="53" t="s">
        <v>195</v>
      </c>
      <c r="D216" s="17">
        <v>426</v>
      </c>
      <c r="E216" s="86">
        <f>'[1]BVC 2022 '!D216</f>
        <v>421</v>
      </c>
      <c r="F216" s="101">
        <f t="shared" ref="F216:F217" si="86">E216-D216</f>
        <v>-5</v>
      </c>
      <c r="G216" s="95">
        <f t="shared" si="81"/>
        <v>-1.1737089201877933</v>
      </c>
    </row>
    <row r="217" spans="1:7" x14ac:dyDescent="0.25">
      <c r="A217" s="18"/>
      <c r="B217" s="33" t="s">
        <v>196</v>
      </c>
      <c r="C217" s="54" t="s">
        <v>197</v>
      </c>
      <c r="D217" s="17">
        <v>426</v>
      </c>
      <c r="E217" s="86">
        <f>'[1]BVC 2022 '!D217</f>
        <v>421</v>
      </c>
      <c r="F217" s="101">
        <f t="shared" si="86"/>
        <v>-5</v>
      </c>
      <c r="G217" s="95">
        <f t="shared" si="81"/>
        <v>-1.1737089201877933</v>
      </c>
    </row>
    <row r="218" spans="1:7" x14ac:dyDescent="0.25">
      <c r="A218" s="15" t="s">
        <v>30</v>
      </c>
      <c r="B218" s="43" t="s">
        <v>76</v>
      </c>
      <c r="C218" s="2" t="s">
        <v>77</v>
      </c>
      <c r="D218" s="16"/>
      <c r="E218" s="16"/>
      <c r="F218" s="16"/>
      <c r="G218" s="95" t="e">
        <f t="shared" si="81"/>
        <v>#DIV/0!</v>
      </c>
    </row>
    <row r="219" spans="1:7" x14ac:dyDescent="0.25">
      <c r="A219" s="15"/>
      <c r="B219" s="15" t="s">
        <v>194</v>
      </c>
      <c r="C219" s="25" t="s">
        <v>195</v>
      </c>
      <c r="D219" s="16">
        <f t="shared" ref="D219:F220" si="87">D222+D225+D228+D231</f>
        <v>1606</v>
      </c>
      <c r="E219" s="16">
        <f t="shared" si="87"/>
        <v>1699</v>
      </c>
      <c r="F219" s="16">
        <f t="shared" si="87"/>
        <v>93</v>
      </c>
      <c r="G219" s="95">
        <f t="shared" si="81"/>
        <v>5.7907845579078456</v>
      </c>
    </row>
    <row r="220" spans="1:7" x14ac:dyDescent="0.25">
      <c r="A220" s="15"/>
      <c r="B220" s="15" t="s">
        <v>196</v>
      </c>
      <c r="C220" s="25" t="s">
        <v>197</v>
      </c>
      <c r="D220" s="16">
        <f t="shared" si="87"/>
        <v>1606</v>
      </c>
      <c r="E220" s="16">
        <f t="shared" si="87"/>
        <v>1699</v>
      </c>
      <c r="F220" s="16">
        <f t="shared" si="87"/>
        <v>93</v>
      </c>
      <c r="G220" s="95">
        <f t="shared" si="81"/>
        <v>5.7907845579078456</v>
      </c>
    </row>
    <row r="221" spans="1:7" x14ac:dyDescent="0.25">
      <c r="A221" s="18" t="s">
        <v>30</v>
      </c>
      <c r="B221" s="11" t="s">
        <v>78</v>
      </c>
      <c r="C221" s="5" t="s">
        <v>79</v>
      </c>
      <c r="D221" s="17"/>
      <c r="E221" s="17"/>
      <c r="F221" s="17"/>
      <c r="G221" s="95" t="e">
        <f t="shared" si="81"/>
        <v>#DIV/0!</v>
      </c>
    </row>
    <row r="222" spans="1:7" x14ac:dyDescent="0.25">
      <c r="A222" s="18"/>
      <c r="B222" s="12" t="s">
        <v>194</v>
      </c>
      <c r="C222" s="53" t="s">
        <v>195</v>
      </c>
      <c r="D222" s="88">
        <f>12+5</f>
        <v>17</v>
      </c>
      <c r="E222" s="86">
        <f>'[1]BVC 2022 '!D222</f>
        <v>13</v>
      </c>
      <c r="F222" s="101">
        <f t="shared" ref="F222:F223" si="88">E222-D222</f>
        <v>-4</v>
      </c>
      <c r="G222" s="95">
        <f t="shared" si="81"/>
        <v>-23.52941176470588</v>
      </c>
    </row>
    <row r="223" spans="1:7" x14ac:dyDescent="0.25">
      <c r="A223" s="18"/>
      <c r="B223" s="33" t="s">
        <v>196</v>
      </c>
      <c r="C223" s="54" t="s">
        <v>197</v>
      </c>
      <c r="D223" s="88">
        <f>12+5</f>
        <v>17</v>
      </c>
      <c r="E223" s="86">
        <f>'[1]BVC 2022 '!D223</f>
        <v>13</v>
      </c>
      <c r="F223" s="101">
        <f t="shared" si="88"/>
        <v>-4</v>
      </c>
      <c r="G223" s="95">
        <f t="shared" si="81"/>
        <v>-23.52941176470588</v>
      </c>
    </row>
    <row r="224" spans="1:7" x14ac:dyDescent="0.25">
      <c r="A224" s="18" t="s">
        <v>30</v>
      </c>
      <c r="B224" s="11" t="s">
        <v>80</v>
      </c>
      <c r="C224" s="5" t="s">
        <v>81</v>
      </c>
      <c r="D224" s="88"/>
      <c r="E224" s="17"/>
      <c r="F224" s="17"/>
      <c r="G224" s="95" t="e">
        <f t="shared" si="81"/>
        <v>#DIV/0!</v>
      </c>
    </row>
    <row r="225" spans="1:7" x14ac:dyDescent="0.25">
      <c r="A225" s="18"/>
      <c r="B225" s="12" t="s">
        <v>194</v>
      </c>
      <c r="C225" s="53" t="s">
        <v>195</v>
      </c>
      <c r="D225" s="88">
        <v>115</v>
      </c>
      <c r="E225" s="86">
        <f>'[1]BVC 2022 '!D225</f>
        <v>98</v>
      </c>
      <c r="F225" s="101">
        <f t="shared" ref="F225:F226" si="89">E225-D225</f>
        <v>-17</v>
      </c>
      <c r="G225" s="95">
        <f t="shared" si="81"/>
        <v>-14.782608695652174</v>
      </c>
    </row>
    <row r="226" spans="1:7" x14ac:dyDescent="0.25">
      <c r="A226" s="18"/>
      <c r="B226" s="33" t="s">
        <v>196</v>
      </c>
      <c r="C226" s="54" t="s">
        <v>197</v>
      </c>
      <c r="D226" s="88">
        <v>115</v>
      </c>
      <c r="E226" s="86">
        <f>'[1]BVC 2022 '!D226</f>
        <v>98</v>
      </c>
      <c r="F226" s="101">
        <f t="shared" si="89"/>
        <v>-17</v>
      </c>
      <c r="G226" s="95">
        <f t="shared" si="81"/>
        <v>-14.782608695652174</v>
      </c>
    </row>
    <row r="227" spans="1:7" x14ac:dyDescent="0.25">
      <c r="A227" s="18" t="s">
        <v>30</v>
      </c>
      <c r="B227" s="11" t="s">
        <v>82</v>
      </c>
      <c r="C227" s="5" t="s">
        <v>83</v>
      </c>
      <c r="D227" s="88"/>
      <c r="E227" s="17"/>
      <c r="F227" s="17"/>
      <c r="G227" s="95" t="e">
        <f t="shared" si="81"/>
        <v>#DIV/0!</v>
      </c>
    </row>
    <row r="228" spans="1:7" x14ac:dyDescent="0.25">
      <c r="A228" s="18"/>
      <c r="B228" s="12" t="s">
        <v>194</v>
      </c>
      <c r="C228" s="53" t="s">
        <v>195</v>
      </c>
      <c r="D228" s="88">
        <f>1363+36</f>
        <v>1399</v>
      </c>
      <c r="E228" s="86">
        <f>'[1]BVC 2022 '!D228</f>
        <v>1550</v>
      </c>
      <c r="F228" s="101">
        <f t="shared" ref="F228:F229" si="90">E228-D228</f>
        <v>151</v>
      </c>
      <c r="G228" s="95">
        <f t="shared" si="81"/>
        <v>10.793423874195854</v>
      </c>
    </row>
    <row r="229" spans="1:7" x14ac:dyDescent="0.25">
      <c r="A229" s="18"/>
      <c r="B229" s="33" t="s">
        <v>196</v>
      </c>
      <c r="C229" s="54" t="s">
        <v>197</v>
      </c>
      <c r="D229" s="88">
        <f>1363+36</f>
        <v>1399</v>
      </c>
      <c r="E229" s="86">
        <f>'[1]BVC 2022 '!D229</f>
        <v>1550</v>
      </c>
      <c r="F229" s="101">
        <f t="shared" si="90"/>
        <v>151</v>
      </c>
      <c r="G229" s="95">
        <f t="shared" si="81"/>
        <v>10.793423874195854</v>
      </c>
    </row>
    <row r="230" spans="1:7" x14ac:dyDescent="0.25">
      <c r="A230" s="18" t="s">
        <v>30</v>
      </c>
      <c r="B230" s="11" t="s">
        <v>84</v>
      </c>
      <c r="C230" s="5" t="s">
        <v>225</v>
      </c>
      <c r="D230" s="88"/>
      <c r="E230" s="17"/>
      <c r="F230" s="17"/>
      <c r="G230" s="95" t="e">
        <f t="shared" si="81"/>
        <v>#DIV/0!</v>
      </c>
    </row>
    <row r="231" spans="1:7" x14ac:dyDescent="0.25">
      <c r="A231" s="18"/>
      <c r="B231" s="12" t="s">
        <v>194</v>
      </c>
      <c r="C231" s="53" t="s">
        <v>195</v>
      </c>
      <c r="D231" s="88">
        <v>75</v>
      </c>
      <c r="E231" s="86">
        <f>'[1]BVC 2022 '!D231</f>
        <v>38</v>
      </c>
      <c r="F231" s="101">
        <f t="shared" ref="F231:F232" si="91">E231-D231</f>
        <v>-37</v>
      </c>
      <c r="G231" s="95">
        <f t="shared" si="81"/>
        <v>-49.333333333333336</v>
      </c>
    </row>
    <row r="232" spans="1:7" x14ac:dyDescent="0.25">
      <c r="A232" s="18"/>
      <c r="B232" s="33" t="s">
        <v>196</v>
      </c>
      <c r="C232" s="54" t="s">
        <v>197</v>
      </c>
      <c r="D232" s="17">
        <v>75</v>
      </c>
      <c r="E232" s="86">
        <f>'[1]BVC 2022 '!D232</f>
        <v>38</v>
      </c>
      <c r="F232" s="101">
        <f t="shared" si="91"/>
        <v>-37</v>
      </c>
      <c r="G232" s="95">
        <f t="shared" si="81"/>
        <v>-49.333333333333336</v>
      </c>
    </row>
    <row r="233" spans="1:7" x14ac:dyDescent="0.25">
      <c r="A233" s="15" t="s">
        <v>30</v>
      </c>
      <c r="B233" s="43" t="s">
        <v>85</v>
      </c>
      <c r="C233" s="2" t="s">
        <v>86</v>
      </c>
      <c r="D233" s="16"/>
      <c r="E233" s="16"/>
      <c r="F233" s="16"/>
      <c r="G233" s="95" t="e">
        <f t="shared" si="81"/>
        <v>#DIV/0!</v>
      </c>
    </row>
    <row r="234" spans="1:7" x14ac:dyDescent="0.25">
      <c r="A234" s="15"/>
      <c r="B234" s="15" t="s">
        <v>194</v>
      </c>
      <c r="C234" s="25" t="s">
        <v>195</v>
      </c>
      <c r="D234" s="16">
        <f t="shared" ref="D234:F235" si="92">D237+D240+D243</f>
        <v>4238</v>
      </c>
      <c r="E234" s="16">
        <f t="shared" si="92"/>
        <v>5435</v>
      </c>
      <c r="F234" s="16">
        <f t="shared" si="92"/>
        <v>1197</v>
      </c>
      <c r="G234" s="95">
        <f t="shared" si="81"/>
        <v>28.244454931571493</v>
      </c>
    </row>
    <row r="235" spans="1:7" x14ac:dyDescent="0.25">
      <c r="A235" s="15"/>
      <c r="B235" s="15" t="s">
        <v>196</v>
      </c>
      <c r="C235" s="25" t="s">
        <v>197</v>
      </c>
      <c r="D235" s="16">
        <f t="shared" si="92"/>
        <v>4238</v>
      </c>
      <c r="E235" s="16">
        <f t="shared" si="92"/>
        <v>5435</v>
      </c>
      <c r="F235" s="16">
        <f t="shared" si="92"/>
        <v>1197</v>
      </c>
      <c r="G235" s="95">
        <f t="shared" si="81"/>
        <v>28.244454931571493</v>
      </c>
    </row>
    <row r="236" spans="1:7" x14ac:dyDescent="0.25">
      <c r="A236" s="18" t="s">
        <v>30</v>
      </c>
      <c r="B236" s="11" t="s">
        <v>87</v>
      </c>
      <c r="C236" s="5" t="s">
        <v>226</v>
      </c>
      <c r="D236" s="17"/>
      <c r="E236" s="17"/>
      <c r="F236" s="17"/>
      <c r="G236" s="95" t="e">
        <f t="shared" si="81"/>
        <v>#DIV/0!</v>
      </c>
    </row>
    <row r="237" spans="1:7" x14ac:dyDescent="0.25">
      <c r="A237" s="18"/>
      <c r="B237" s="12" t="s">
        <v>194</v>
      </c>
      <c r="C237" s="53" t="s">
        <v>195</v>
      </c>
      <c r="D237" s="88">
        <f>1140-48</f>
        <v>1092</v>
      </c>
      <c r="E237" s="86">
        <f>'[1]BVC 2022 '!D237</f>
        <v>1342</v>
      </c>
      <c r="F237" s="101">
        <f t="shared" ref="F237:F238" si="93">E237-D237</f>
        <v>250</v>
      </c>
      <c r="G237" s="95">
        <f t="shared" si="81"/>
        <v>22.893772893772894</v>
      </c>
    </row>
    <row r="238" spans="1:7" x14ac:dyDescent="0.25">
      <c r="A238" s="18"/>
      <c r="B238" s="33" t="s">
        <v>196</v>
      </c>
      <c r="C238" s="54" t="s">
        <v>197</v>
      </c>
      <c r="D238" s="88">
        <f>1140-48</f>
        <v>1092</v>
      </c>
      <c r="E238" s="86">
        <f>'[1]BVC 2022 '!D238</f>
        <v>1342</v>
      </c>
      <c r="F238" s="101">
        <f t="shared" si="93"/>
        <v>250</v>
      </c>
      <c r="G238" s="95">
        <f t="shared" si="81"/>
        <v>22.893772893772894</v>
      </c>
    </row>
    <row r="239" spans="1:7" x14ac:dyDescent="0.25">
      <c r="A239" s="18" t="s">
        <v>30</v>
      </c>
      <c r="B239" s="11" t="s">
        <v>88</v>
      </c>
      <c r="C239" s="5" t="s">
        <v>227</v>
      </c>
      <c r="D239" s="88"/>
      <c r="E239" s="17"/>
      <c r="F239" s="17"/>
      <c r="G239" s="95" t="e">
        <f t="shared" si="81"/>
        <v>#DIV/0!</v>
      </c>
    </row>
    <row r="240" spans="1:7" x14ac:dyDescent="0.25">
      <c r="A240" s="18"/>
      <c r="B240" s="12" t="s">
        <v>194</v>
      </c>
      <c r="C240" s="53" t="s">
        <v>195</v>
      </c>
      <c r="D240" s="88">
        <f>103+1</f>
        <v>104</v>
      </c>
      <c r="E240" s="86">
        <f>'[1]BVC 2022 '!D240</f>
        <v>89</v>
      </c>
      <c r="F240" s="101">
        <f t="shared" ref="F240:F241" si="94">E240-D240</f>
        <v>-15</v>
      </c>
      <c r="G240" s="95">
        <f t="shared" si="81"/>
        <v>-14.423076923076922</v>
      </c>
    </row>
    <row r="241" spans="1:7" x14ac:dyDescent="0.25">
      <c r="A241" s="18"/>
      <c r="B241" s="33" t="s">
        <v>196</v>
      </c>
      <c r="C241" s="54" t="s">
        <v>197</v>
      </c>
      <c r="D241" s="88">
        <f>103+1</f>
        <v>104</v>
      </c>
      <c r="E241" s="86">
        <f>'[1]BVC 2022 '!D241</f>
        <v>89</v>
      </c>
      <c r="F241" s="101">
        <f t="shared" si="94"/>
        <v>-15</v>
      </c>
      <c r="G241" s="95">
        <f t="shared" si="81"/>
        <v>-14.423076923076922</v>
      </c>
    </row>
    <row r="242" spans="1:7" x14ac:dyDescent="0.25">
      <c r="A242" s="18" t="s">
        <v>30</v>
      </c>
      <c r="B242" s="11" t="s">
        <v>89</v>
      </c>
      <c r="C242" s="5" t="s">
        <v>90</v>
      </c>
      <c r="D242" s="88"/>
      <c r="E242" s="17"/>
      <c r="F242" s="17"/>
      <c r="G242" s="95" t="e">
        <f t="shared" si="81"/>
        <v>#DIV/0!</v>
      </c>
    </row>
    <row r="243" spans="1:7" x14ac:dyDescent="0.25">
      <c r="A243" s="18"/>
      <c r="B243" s="12" t="s">
        <v>194</v>
      </c>
      <c r="C243" s="53" t="s">
        <v>195</v>
      </c>
      <c r="D243" s="88">
        <f>2968+74</f>
        <v>3042</v>
      </c>
      <c r="E243" s="86">
        <f>'[1]BVC 2022 '!D243</f>
        <v>4004</v>
      </c>
      <c r="F243" s="101">
        <f t="shared" ref="F243:F244" si="95">E243-D243</f>
        <v>962</v>
      </c>
      <c r="G243" s="95">
        <f t="shared" si="81"/>
        <v>31.623931623931622</v>
      </c>
    </row>
    <row r="244" spans="1:7" x14ac:dyDescent="0.25">
      <c r="A244" s="18"/>
      <c r="B244" s="33" t="s">
        <v>196</v>
      </c>
      <c r="C244" s="54" t="s">
        <v>197</v>
      </c>
      <c r="D244" s="88">
        <f>2968+74</f>
        <v>3042</v>
      </c>
      <c r="E244" s="86">
        <f>'[1]BVC 2022 '!D244</f>
        <v>4004</v>
      </c>
      <c r="F244" s="101">
        <f t="shared" si="95"/>
        <v>962</v>
      </c>
      <c r="G244" s="95">
        <f t="shared" si="81"/>
        <v>31.623931623931622</v>
      </c>
    </row>
    <row r="245" spans="1:7" x14ac:dyDescent="0.25">
      <c r="A245" s="15" t="s">
        <v>30</v>
      </c>
      <c r="B245" s="43" t="s">
        <v>91</v>
      </c>
      <c r="C245" s="2" t="s">
        <v>228</v>
      </c>
      <c r="D245" s="16"/>
      <c r="E245" s="16"/>
      <c r="F245" s="16"/>
      <c r="G245" s="95" t="e">
        <f t="shared" si="81"/>
        <v>#DIV/0!</v>
      </c>
    </row>
    <row r="246" spans="1:7" x14ac:dyDescent="0.25">
      <c r="A246" s="15"/>
      <c r="B246" s="15" t="s">
        <v>194</v>
      </c>
      <c r="C246" s="25" t="s">
        <v>195</v>
      </c>
      <c r="D246" s="16">
        <f t="shared" ref="D246:F247" si="96">D249+D252</f>
        <v>2398</v>
      </c>
      <c r="E246" s="16">
        <f t="shared" si="96"/>
        <v>2813</v>
      </c>
      <c r="F246" s="16">
        <f t="shared" si="96"/>
        <v>415</v>
      </c>
      <c r="G246" s="95">
        <f t="shared" si="81"/>
        <v>17.306088407005838</v>
      </c>
    </row>
    <row r="247" spans="1:7" x14ac:dyDescent="0.25">
      <c r="A247" s="15"/>
      <c r="B247" s="15" t="s">
        <v>196</v>
      </c>
      <c r="C247" s="25" t="s">
        <v>197</v>
      </c>
      <c r="D247" s="16">
        <f t="shared" si="96"/>
        <v>2398</v>
      </c>
      <c r="E247" s="16">
        <f t="shared" si="96"/>
        <v>2813</v>
      </c>
      <c r="F247" s="16">
        <f t="shared" si="96"/>
        <v>415</v>
      </c>
      <c r="G247" s="95">
        <f t="shared" si="81"/>
        <v>17.306088407005838</v>
      </c>
    </row>
    <row r="248" spans="1:7" x14ac:dyDescent="0.25">
      <c r="A248" s="18" t="s">
        <v>30</v>
      </c>
      <c r="B248" s="11" t="s">
        <v>92</v>
      </c>
      <c r="C248" s="5" t="s">
        <v>229</v>
      </c>
      <c r="D248" s="17"/>
      <c r="E248" s="17"/>
      <c r="F248" s="17"/>
      <c r="G248" s="95" t="e">
        <f t="shared" si="81"/>
        <v>#DIV/0!</v>
      </c>
    </row>
    <row r="249" spans="1:7" x14ac:dyDescent="0.25">
      <c r="A249" s="18"/>
      <c r="B249" s="12" t="s">
        <v>194</v>
      </c>
      <c r="C249" s="53" t="s">
        <v>195</v>
      </c>
      <c r="D249" s="88">
        <f>1933+160</f>
        <v>2093</v>
      </c>
      <c r="E249" s="86">
        <f>'[1]BVC 2022 '!D249</f>
        <v>2543</v>
      </c>
      <c r="F249" s="101">
        <f t="shared" ref="F249:F250" si="97">E249-D249</f>
        <v>450</v>
      </c>
      <c r="G249" s="95">
        <f t="shared" si="81"/>
        <v>21.500238891543237</v>
      </c>
    </row>
    <row r="250" spans="1:7" x14ac:dyDescent="0.25">
      <c r="A250" s="18"/>
      <c r="B250" s="33" t="s">
        <v>196</v>
      </c>
      <c r="C250" s="54" t="s">
        <v>197</v>
      </c>
      <c r="D250" s="88">
        <f>1933+160</f>
        <v>2093</v>
      </c>
      <c r="E250" s="86">
        <f>'[1]BVC 2022 '!D250</f>
        <v>2543</v>
      </c>
      <c r="F250" s="101">
        <f t="shared" si="97"/>
        <v>450</v>
      </c>
      <c r="G250" s="95">
        <f t="shared" si="81"/>
        <v>21.500238891543237</v>
      </c>
    </row>
    <row r="251" spans="1:7" x14ac:dyDescent="0.25">
      <c r="A251" s="18" t="s">
        <v>30</v>
      </c>
      <c r="B251" s="11" t="s">
        <v>93</v>
      </c>
      <c r="C251" s="5" t="s">
        <v>230</v>
      </c>
      <c r="D251" s="88"/>
      <c r="E251" s="17"/>
      <c r="F251" s="17"/>
      <c r="G251" s="95" t="e">
        <f t="shared" si="81"/>
        <v>#DIV/0!</v>
      </c>
    </row>
    <row r="252" spans="1:7" x14ac:dyDescent="0.25">
      <c r="A252" s="18"/>
      <c r="B252" s="12" t="s">
        <v>194</v>
      </c>
      <c r="C252" s="53" t="s">
        <v>195</v>
      </c>
      <c r="D252" s="88">
        <f>194+111</f>
        <v>305</v>
      </c>
      <c r="E252" s="86">
        <f>'[1]BVC 2022 '!D252</f>
        <v>270</v>
      </c>
      <c r="F252" s="101">
        <f t="shared" ref="F252:F253" si="98">E252-D252</f>
        <v>-35</v>
      </c>
      <c r="G252" s="95">
        <f t="shared" si="81"/>
        <v>-11.475409836065573</v>
      </c>
    </row>
    <row r="253" spans="1:7" x14ac:dyDescent="0.25">
      <c r="A253" s="18"/>
      <c r="B253" s="33" t="s">
        <v>196</v>
      </c>
      <c r="C253" s="54" t="s">
        <v>197</v>
      </c>
      <c r="D253" s="88">
        <f>194+111</f>
        <v>305</v>
      </c>
      <c r="E253" s="86">
        <f>'[1]BVC 2022 '!D253</f>
        <v>270</v>
      </c>
      <c r="F253" s="101">
        <f t="shared" si="98"/>
        <v>-35</v>
      </c>
      <c r="G253" s="95">
        <f t="shared" si="81"/>
        <v>-11.475409836065573</v>
      </c>
    </row>
    <row r="254" spans="1:7" x14ac:dyDescent="0.25">
      <c r="A254" s="28" t="s">
        <v>30</v>
      </c>
      <c r="B254" s="44" t="s">
        <v>94</v>
      </c>
      <c r="C254" s="6" t="s">
        <v>95</v>
      </c>
      <c r="D254" s="20"/>
      <c r="E254" s="20"/>
      <c r="F254" s="20"/>
      <c r="G254" s="95" t="e">
        <f t="shared" si="81"/>
        <v>#DIV/0!</v>
      </c>
    </row>
    <row r="255" spans="1:7" x14ac:dyDescent="0.25">
      <c r="A255" s="28"/>
      <c r="B255" s="15" t="s">
        <v>194</v>
      </c>
      <c r="C255" s="25" t="s">
        <v>195</v>
      </c>
      <c r="D255" s="20">
        <v>1549</v>
      </c>
      <c r="E255" s="16">
        <f>'[1]BVC 2022 '!D255</f>
        <v>1676</v>
      </c>
      <c r="F255" s="16">
        <f t="shared" ref="F255:F256" si="99">E255-D255</f>
        <v>127</v>
      </c>
      <c r="G255" s="95">
        <f t="shared" si="81"/>
        <v>8.1988379599741776</v>
      </c>
    </row>
    <row r="256" spans="1:7" x14ac:dyDescent="0.25">
      <c r="A256" s="28"/>
      <c r="B256" s="15" t="s">
        <v>196</v>
      </c>
      <c r="C256" s="25" t="s">
        <v>197</v>
      </c>
      <c r="D256" s="20">
        <v>1549</v>
      </c>
      <c r="E256" s="16">
        <f>'[1]BVC 2022 '!D256</f>
        <v>1676</v>
      </c>
      <c r="F256" s="16">
        <f t="shared" si="99"/>
        <v>127</v>
      </c>
      <c r="G256" s="95">
        <f t="shared" si="81"/>
        <v>8.1988379599741776</v>
      </c>
    </row>
    <row r="257" spans="1:7" x14ac:dyDescent="0.25">
      <c r="A257" s="28" t="s">
        <v>30</v>
      </c>
      <c r="B257" s="44" t="s">
        <v>96</v>
      </c>
      <c r="C257" s="6" t="s">
        <v>231</v>
      </c>
      <c r="D257" s="20"/>
      <c r="E257" s="20"/>
      <c r="F257" s="20"/>
      <c r="G257" s="95" t="e">
        <f t="shared" si="81"/>
        <v>#DIV/0!</v>
      </c>
    </row>
    <row r="258" spans="1:7" x14ac:dyDescent="0.25">
      <c r="A258" s="28"/>
      <c r="B258" s="15" t="s">
        <v>194</v>
      </c>
      <c r="C258" s="25" t="s">
        <v>195</v>
      </c>
      <c r="D258" s="16">
        <f>239-8</f>
        <v>231</v>
      </c>
      <c r="E258" s="16">
        <f>'[1]BVC 2022 '!D258</f>
        <v>235</v>
      </c>
      <c r="F258" s="16">
        <f t="shared" ref="F258:F259" si="100">E258-D258</f>
        <v>4</v>
      </c>
      <c r="G258" s="95">
        <f t="shared" si="81"/>
        <v>1.7316017316017316</v>
      </c>
    </row>
    <row r="259" spans="1:7" x14ac:dyDescent="0.25">
      <c r="A259" s="28"/>
      <c r="B259" s="15" t="s">
        <v>196</v>
      </c>
      <c r="C259" s="25" t="s">
        <v>197</v>
      </c>
      <c r="D259" s="16">
        <f>239-8</f>
        <v>231</v>
      </c>
      <c r="E259" s="16">
        <f>'[1]BVC 2022 '!D259</f>
        <v>235</v>
      </c>
      <c r="F259" s="16">
        <f t="shared" si="100"/>
        <v>4</v>
      </c>
      <c r="G259" s="95">
        <f t="shared" si="81"/>
        <v>1.7316017316017316</v>
      </c>
    </row>
    <row r="260" spans="1:7" x14ac:dyDescent="0.25">
      <c r="A260" s="28" t="s">
        <v>30</v>
      </c>
      <c r="B260" s="44" t="s">
        <v>97</v>
      </c>
      <c r="C260" s="6" t="s">
        <v>232</v>
      </c>
      <c r="D260" s="20"/>
      <c r="E260" s="20"/>
      <c r="F260" s="20"/>
      <c r="G260" s="95" t="e">
        <f t="shared" si="81"/>
        <v>#DIV/0!</v>
      </c>
    </row>
    <row r="261" spans="1:7" x14ac:dyDescent="0.25">
      <c r="A261" s="28"/>
      <c r="B261" s="15" t="s">
        <v>194</v>
      </c>
      <c r="C261" s="25" t="s">
        <v>195</v>
      </c>
      <c r="D261" s="16">
        <f>2665-862</f>
        <v>1803</v>
      </c>
      <c r="E261" s="16">
        <f>'[1]BVC 2022 '!D261</f>
        <v>2115</v>
      </c>
      <c r="F261" s="16">
        <f t="shared" ref="F261:F262" si="101">E261-D261</f>
        <v>312</v>
      </c>
      <c r="G261" s="95">
        <f t="shared" si="81"/>
        <v>17.304492512479204</v>
      </c>
    </row>
    <row r="262" spans="1:7" x14ac:dyDescent="0.25">
      <c r="A262" s="28"/>
      <c r="B262" s="15" t="s">
        <v>196</v>
      </c>
      <c r="C262" s="25" t="s">
        <v>197</v>
      </c>
      <c r="D262" s="16">
        <f>2665-862</f>
        <v>1803</v>
      </c>
      <c r="E262" s="16">
        <f>'[1]BVC 2022 '!D262</f>
        <v>2115</v>
      </c>
      <c r="F262" s="16">
        <f t="shared" si="101"/>
        <v>312</v>
      </c>
      <c r="G262" s="95">
        <f t="shared" si="81"/>
        <v>17.304492512479204</v>
      </c>
    </row>
    <row r="263" spans="1:7" x14ac:dyDescent="0.25">
      <c r="A263" s="28" t="s">
        <v>30</v>
      </c>
      <c r="B263" s="44" t="s">
        <v>98</v>
      </c>
      <c r="C263" s="6" t="s">
        <v>233</v>
      </c>
      <c r="D263" s="20"/>
      <c r="E263" s="20"/>
      <c r="F263" s="20"/>
      <c r="G263" s="95" t="e">
        <f t="shared" si="81"/>
        <v>#DIV/0!</v>
      </c>
    </row>
    <row r="264" spans="1:7" x14ac:dyDescent="0.25">
      <c r="A264" s="28"/>
      <c r="B264" s="15" t="s">
        <v>194</v>
      </c>
      <c r="C264" s="25" t="s">
        <v>195</v>
      </c>
      <c r="D264" s="16">
        <v>1610</v>
      </c>
      <c r="E264" s="16">
        <f>'[1]BVC 2022 '!D264</f>
        <v>1951</v>
      </c>
      <c r="F264" s="16">
        <f t="shared" ref="F264:F265" si="102">E264-D264</f>
        <v>341</v>
      </c>
      <c r="G264" s="95">
        <f t="shared" si="81"/>
        <v>21.180124223602483</v>
      </c>
    </row>
    <row r="265" spans="1:7" x14ac:dyDescent="0.25">
      <c r="A265" s="28"/>
      <c r="B265" s="15" t="s">
        <v>196</v>
      </c>
      <c r="C265" s="25" t="s">
        <v>197</v>
      </c>
      <c r="D265" s="16">
        <v>1610</v>
      </c>
      <c r="E265" s="16">
        <f>'[1]BVC 2022 '!D265</f>
        <v>1951</v>
      </c>
      <c r="F265" s="16">
        <f t="shared" si="102"/>
        <v>341</v>
      </c>
      <c r="G265" s="95">
        <f t="shared" si="81"/>
        <v>21.180124223602483</v>
      </c>
    </row>
    <row r="266" spans="1:7" x14ac:dyDescent="0.25">
      <c r="A266" s="28" t="s">
        <v>30</v>
      </c>
      <c r="B266" s="44" t="s">
        <v>99</v>
      </c>
      <c r="C266" s="6" t="s">
        <v>234</v>
      </c>
      <c r="D266" s="20"/>
      <c r="E266" s="20"/>
      <c r="F266" s="20"/>
      <c r="G266" s="95" t="e">
        <f t="shared" ref="G266:G329" si="103">F266/D266*100</f>
        <v>#DIV/0!</v>
      </c>
    </row>
    <row r="267" spans="1:7" x14ac:dyDescent="0.25">
      <c r="A267" s="28"/>
      <c r="B267" s="15" t="s">
        <v>194</v>
      </c>
      <c r="C267" s="25" t="s">
        <v>195</v>
      </c>
      <c r="D267" s="16">
        <f>1634+115</f>
        <v>1749</v>
      </c>
      <c r="E267" s="16">
        <f>'[1]BVC 2022 '!D267</f>
        <v>1991</v>
      </c>
      <c r="F267" s="16">
        <f t="shared" ref="F267:F268" si="104">E267-D267</f>
        <v>242</v>
      </c>
      <c r="G267" s="95">
        <f t="shared" si="103"/>
        <v>13.836477987421384</v>
      </c>
    </row>
    <row r="268" spans="1:7" x14ac:dyDescent="0.25">
      <c r="A268" s="28"/>
      <c r="B268" s="15" t="s">
        <v>196</v>
      </c>
      <c r="C268" s="25" t="s">
        <v>197</v>
      </c>
      <c r="D268" s="16">
        <f>1634+115</f>
        <v>1749</v>
      </c>
      <c r="E268" s="16">
        <f>'[1]BVC 2022 '!D268</f>
        <v>1991</v>
      </c>
      <c r="F268" s="16">
        <f t="shared" si="104"/>
        <v>242</v>
      </c>
      <c r="G268" s="95">
        <f t="shared" si="103"/>
        <v>13.836477987421384</v>
      </c>
    </row>
    <row r="269" spans="1:7" x14ac:dyDescent="0.25">
      <c r="A269" s="28" t="s">
        <v>30</v>
      </c>
      <c r="B269" s="44" t="s">
        <v>100</v>
      </c>
      <c r="C269" s="6" t="s">
        <v>235</v>
      </c>
      <c r="D269" s="20"/>
      <c r="E269" s="20"/>
      <c r="F269" s="20"/>
      <c r="G269" s="95" t="e">
        <f t="shared" si="103"/>
        <v>#DIV/0!</v>
      </c>
    </row>
    <row r="270" spans="1:7" x14ac:dyDescent="0.25">
      <c r="A270" s="28"/>
      <c r="B270" s="15" t="s">
        <v>194</v>
      </c>
      <c r="C270" s="25" t="s">
        <v>195</v>
      </c>
      <c r="D270" s="20">
        <v>3298</v>
      </c>
      <c r="E270" s="16">
        <f>'[1]BVC 2022 '!D270</f>
        <v>3405</v>
      </c>
      <c r="F270" s="16">
        <f t="shared" ref="F270:F271" si="105">E270-D270</f>
        <v>107</v>
      </c>
      <c r="G270" s="95">
        <f t="shared" si="103"/>
        <v>3.2443905397210435</v>
      </c>
    </row>
    <row r="271" spans="1:7" x14ac:dyDescent="0.25">
      <c r="A271" s="28"/>
      <c r="B271" s="15" t="s">
        <v>196</v>
      </c>
      <c r="C271" s="25" t="s">
        <v>197</v>
      </c>
      <c r="D271" s="20">
        <v>3298</v>
      </c>
      <c r="E271" s="16">
        <f>'[1]BVC 2022 '!D271</f>
        <v>3405</v>
      </c>
      <c r="F271" s="16">
        <f t="shared" si="105"/>
        <v>107</v>
      </c>
      <c r="G271" s="95">
        <f t="shared" si="103"/>
        <v>3.2443905397210435</v>
      </c>
    </row>
    <row r="272" spans="1:7" x14ac:dyDescent="0.25">
      <c r="A272" s="28" t="s">
        <v>30</v>
      </c>
      <c r="B272" s="44" t="s">
        <v>101</v>
      </c>
      <c r="C272" s="6" t="s">
        <v>236</v>
      </c>
      <c r="D272" s="20"/>
      <c r="E272" s="20"/>
      <c r="F272" s="20"/>
      <c r="G272" s="95" t="e">
        <f t="shared" si="103"/>
        <v>#DIV/0!</v>
      </c>
    </row>
    <row r="273" spans="1:7" x14ac:dyDescent="0.25">
      <c r="A273" s="28"/>
      <c r="B273" s="15" t="s">
        <v>194</v>
      </c>
      <c r="C273" s="25" t="s">
        <v>195</v>
      </c>
      <c r="D273" s="16">
        <f>2663-140</f>
        <v>2523</v>
      </c>
      <c r="E273" s="16">
        <f>'[1]BVC 2022 '!D273</f>
        <v>1424</v>
      </c>
      <c r="F273" s="16">
        <f t="shared" ref="F273:F274" si="106">E273-D273</f>
        <v>-1099</v>
      </c>
      <c r="G273" s="95">
        <f t="shared" si="103"/>
        <v>-43.559254855330956</v>
      </c>
    </row>
    <row r="274" spans="1:7" x14ac:dyDescent="0.25">
      <c r="A274" s="28"/>
      <c r="B274" s="15" t="s">
        <v>196</v>
      </c>
      <c r="C274" s="25" t="s">
        <v>197</v>
      </c>
      <c r="D274" s="16">
        <f>2663-140</f>
        <v>2523</v>
      </c>
      <c r="E274" s="16">
        <f>'[1]BVC 2022 '!D274</f>
        <v>1424</v>
      </c>
      <c r="F274" s="16">
        <f t="shared" si="106"/>
        <v>-1099</v>
      </c>
      <c r="G274" s="95">
        <f t="shared" si="103"/>
        <v>-43.559254855330956</v>
      </c>
    </row>
    <row r="275" spans="1:7" x14ac:dyDescent="0.25">
      <c r="A275" s="28" t="s">
        <v>30</v>
      </c>
      <c r="B275" s="44" t="s">
        <v>102</v>
      </c>
      <c r="C275" s="6" t="s">
        <v>237</v>
      </c>
      <c r="D275" s="16"/>
      <c r="E275" s="20"/>
      <c r="F275" s="20"/>
      <c r="G275" s="95" t="e">
        <f t="shared" si="103"/>
        <v>#DIV/0!</v>
      </c>
    </row>
    <row r="276" spans="1:7" x14ac:dyDescent="0.25">
      <c r="A276" s="28"/>
      <c r="B276" s="15" t="s">
        <v>194</v>
      </c>
      <c r="C276" s="25" t="s">
        <v>195</v>
      </c>
      <c r="D276" s="16">
        <v>1588</v>
      </c>
      <c r="E276" s="16">
        <f>'[1]BVC 2022 '!D276</f>
        <v>598</v>
      </c>
      <c r="F276" s="16">
        <f t="shared" ref="F276:F277" si="107">E276-D276</f>
        <v>-990</v>
      </c>
      <c r="G276" s="95">
        <f t="shared" si="103"/>
        <v>-62.342569269521405</v>
      </c>
    </row>
    <row r="277" spans="1:7" x14ac:dyDescent="0.25">
      <c r="A277" s="28"/>
      <c r="B277" s="15" t="s">
        <v>196</v>
      </c>
      <c r="C277" s="25" t="s">
        <v>197</v>
      </c>
      <c r="D277" s="16">
        <v>1588</v>
      </c>
      <c r="E277" s="16">
        <f>'[1]BVC 2022 '!D277</f>
        <v>598</v>
      </c>
      <c r="F277" s="16">
        <f t="shared" si="107"/>
        <v>-990</v>
      </c>
      <c r="G277" s="95">
        <f t="shared" si="103"/>
        <v>-62.342569269521405</v>
      </c>
    </row>
    <row r="278" spans="1:7" hidden="1" x14ac:dyDescent="0.25">
      <c r="A278" s="15" t="s">
        <v>30</v>
      </c>
      <c r="B278" s="43" t="s">
        <v>103</v>
      </c>
      <c r="C278" s="2" t="s">
        <v>238</v>
      </c>
      <c r="D278" s="16"/>
      <c r="E278" s="16"/>
      <c r="F278" s="16"/>
      <c r="G278" s="95" t="e">
        <f t="shared" si="103"/>
        <v>#DIV/0!</v>
      </c>
    </row>
    <row r="279" spans="1:7" hidden="1" x14ac:dyDescent="0.25">
      <c r="A279" s="15"/>
      <c r="B279" s="15" t="s">
        <v>194</v>
      </c>
      <c r="C279" s="25" t="s">
        <v>195</v>
      </c>
      <c r="D279" s="16">
        <f t="shared" ref="D279:F280" si="108">D282</f>
        <v>0</v>
      </c>
      <c r="E279" s="20">
        <f t="shared" si="108"/>
        <v>0</v>
      </c>
      <c r="F279" s="20">
        <f t="shared" si="108"/>
        <v>0</v>
      </c>
      <c r="G279" s="95" t="e">
        <f t="shared" si="103"/>
        <v>#DIV/0!</v>
      </c>
    </row>
    <row r="280" spans="1:7" hidden="1" x14ac:dyDescent="0.25">
      <c r="A280" s="15"/>
      <c r="B280" s="15" t="s">
        <v>196</v>
      </c>
      <c r="C280" s="25" t="s">
        <v>197</v>
      </c>
      <c r="D280" s="16">
        <f t="shared" si="108"/>
        <v>0</v>
      </c>
      <c r="E280" s="20">
        <f t="shared" si="108"/>
        <v>0</v>
      </c>
      <c r="F280" s="20">
        <f t="shared" si="108"/>
        <v>0</v>
      </c>
      <c r="G280" s="95" t="e">
        <f t="shared" si="103"/>
        <v>#DIV/0!</v>
      </c>
    </row>
    <row r="281" spans="1:7" hidden="1" x14ac:dyDescent="0.25">
      <c r="A281" s="18" t="s">
        <v>30</v>
      </c>
      <c r="B281" s="11" t="s">
        <v>104</v>
      </c>
      <c r="C281" s="5" t="s">
        <v>239</v>
      </c>
      <c r="D281" s="16"/>
      <c r="E281" s="17"/>
      <c r="F281" s="17"/>
      <c r="G281" s="95" t="e">
        <f t="shared" si="103"/>
        <v>#DIV/0!</v>
      </c>
    </row>
    <row r="282" spans="1:7" hidden="1" x14ac:dyDescent="0.25">
      <c r="A282" s="18"/>
      <c r="B282" s="12" t="s">
        <v>194</v>
      </c>
      <c r="C282" s="53" t="s">
        <v>195</v>
      </c>
      <c r="D282" s="16">
        <v>0</v>
      </c>
      <c r="E282" s="17">
        <v>0</v>
      </c>
      <c r="F282" s="17">
        <v>0</v>
      </c>
      <c r="G282" s="95" t="e">
        <f t="shared" si="103"/>
        <v>#DIV/0!</v>
      </c>
    </row>
    <row r="283" spans="1:7" hidden="1" x14ac:dyDescent="0.25">
      <c r="A283" s="18"/>
      <c r="B283" s="33" t="s">
        <v>196</v>
      </c>
      <c r="C283" s="54" t="s">
        <v>197</v>
      </c>
      <c r="D283" s="16">
        <v>0</v>
      </c>
      <c r="E283" s="29">
        <v>0</v>
      </c>
      <c r="F283" s="29">
        <v>0</v>
      </c>
      <c r="G283" s="95" t="e">
        <f t="shared" si="103"/>
        <v>#DIV/0!</v>
      </c>
    </row>
    <row r="284" spans="1:7" ht="25.5" x14ac:dyDescent="0.25">
      <c r="A284" s="28" t="s">
        <v>30</v>
      </c>
      <c r="B284" s="44" t="s">
        <v>105</v>
      </c>
      <c r="C284" s="6" t="s">
        <v>240</v>
      </c>
      <c r="D284" s="16"/>
      <c r="E284" s="20"/>
      <c r="F284" s="20"/>
      <c r="G284" s="95" t="e">
        <f t="shared" si="103"/>
        <v>#DIV/0!</v>
      </c>
    </row>
    <row r="285" spans="1:7" x14ac:dyDescent="0.25">
      <c r="A285" s="28"/>
      <c r="B285" s="15" t="s">
        <v>194</v>
      </c>
      <c r="C285" s="25" t="s">
        <v>195</v>
      </c>
      <c r="D285" s="16">
        <f>1633+381</f>
        <v>2014</v>
      </c>
      <c r="E285" s="16">
        <f>'[1]BVC 2022 '!D285</f>
        <v>1891</v>
      </c>
      <c r="F285" s="16">
        <f t="shared" ref="F285:F286" si="109">E285-D285</f>
        <v>-123</v>
      </c>
      <c r="G285" s="95">
        <f t="shared" si="103"/>
        <v>-6.1072492552135049</v>
      </c>
    </row>
    <row r="286" spans="1:7" x14ac:dyDescent="0.25">
      <c r="A286" s="28"/>
      <c r="B286" s="15" t="s">
        <v>196</v>
      </c>
      <c r="C286" s="25" t="s">
        <v>197</v>
      </c>
      <c r="D286" s="16">
        <f>1633+381</f>
        <v>2014</v>
      </c>
      <c r="E286" s="16">
        <f>'[1]BVC 2022 '!D286</f>
        <v>1891</v>
      </c>
      <c r="F286" s="16">
        <f t="shared" si="109"/>
        <v>-123</v>
      </c>
      <c r="G286" s="95">
        <f t="shared" si="103"/>
        <v>-6.1072492552135049</v>
      </c>
    </row>
    <row r="287" spans="1:7" x14ac:dyDescent="0.25">
      <c r="A287" s="15" t="s">
        <v>30</v>
      </c>
      <c r="B287" s="43" t="s">
        <v>106</v>
      </c>
      <c r="C287" s="2" t="s">
        <v>107</v>
      </c>
      <c r="D287" s="16"/>
      <c r="E287" s="16"/>
      <c r="F287" s="16"/>
      <c r="G287" s="95" t="e">
        <f t="shared" si="103"/>
        <v>#DIV/0!</v>
      </c>
    </row>
    <row r="288" spans="1:7" x14ac:dyDescent="0.25">
      <c r="A288" s="15"/>
      <c r="B288" s="15" t="s">
        <v>194</v>
      </c>
      <c r="C288" s="25" t="s">
        <v>195</v>
      </c>
      <c r="D288" s="16">
        <f t="shared" ref="D288:F289" si="110">D291+D294+D297+D300+D303+D306</f>
        <v>159885</v>
      </c>
      <c r="E288" s="16">
        <f t="shared" si="110"/>
        <v>186973</v>
      </c>
      <c r="F288" s="16">
        <f t="shared" si="110"/>
        <v>27088</v>
      </c>
      <c r="G288" s="95">
        <f t="shared" si="103"/>
        <v>16.942177189855208</v>
      </c>
    </row>
    <row r="289" spans="1:7" x14ac:dyDescent="0.25">
      <c r="A289" s="15"/>
      <c r="B289" s="15" t="s">
        <v>196</v>
      </c>
      <c r="C289" s="25" t="s">
        <v>197</v>
      </c>
      <c r="D289" s="16">
        <f t="shared" si="110"/>
        <v>159885</v>
      </c>
      <c r="E289" s="16">
        <f t="shared" si="110"/>
        <v>186973</v>
      </c>
      <c r="F289" s="16">
        <f t="shared" si="110"/>
        <v>27088</v>
      </c>
      <c r="G289" s="95">
        <f t="shared" si="103"/>
        <v>16.942177189855208</v>
      </c>
    </row>
    <row r="290" spans="1:7" x14ac:dyDescent="0.25">
      <c r="A290" s="18" t="s">
        <v>30</v>
      </c>
      <c r="B290" s="11" t="s">
        <v>108</v>
      </c>
      <c r="C290" s="5" t="s">
        <v>241</v>
      </c>
      <c r="D290" s="17"/>
      <c r="E290" s="17"/>
      <c r="F290" s="17"/>
      <c r="G290" s="95" t="e">
        <f t="shared" si="103"/>
        <v>#DIV/0!</v>
      </c>
    </row>
    <row r="291" spans="1:7" x14ac:dyDescent="0.25">
      <c r="A291" s="18"/>
      <c r="B291" s="12" t="s">
        <v>194</v>
      </c>
      <c r="C291" s="53" t="s">
        <v>195</v>
      </c>
      <c r="D291" s="88">
        <f>635+41</f>
        <v>676</v>
      </c>
      <c r="E291" s="86">
        <f>'[1]BVC 2022 '!D291</f>
        <v>945</v>
      </c>
      <c r="F291" s="86">
        <f t="shared" ref="F291:F292" si="111">E291-D291</f>
        <v>269</v>
      </c>
      <c r="G291" s="95">
        <f t="shared" si="103"/>
        <v>39.792899408284022</v>
      </c>
    </row>
    <row r="292" spans="1:7" x14ac:dyDescent="0.25">
      <c r="A292" s="18"/>
      <c r="B292" s="33" t="s">
        <v>196</v>
      </c>
      <c r="C292" s="54" t="s">
        <v>197</v>
      </c>
      <c r="D292" s="86">
        <f>635+41</f>
        <v>676</v>
      </c>
      <c r="E292" s="86">
        <f>'[1]BVC 2022 '!D292</f>
        <v>945</v>
      </c>
      <c r="F292" s="86">
        <f t="shared" si="111"/>
        <v>269</v>
      </c>
      <c r="G292" s="95">
        <f t="shared" si="103"/>
        <v>39.792899408284022</v>
      </c>
    </row>
    <row r="293" spans="1:7" x14ac:dyDescent="0.25">
      <c r="A293" s="18" t="s">
        <v>30</v>
      </c>
      <c r="B293" s="11" t="s">
        <v>109</v>
      </c>
      <c r="C293" s="5" t="s">
        <v>242</v>
      </c>
      <c r="D293" s="88"/>
      <c r="E293" s="17"/>
      <c r="F293" s="17"/>
      <c r="G293" s="95" t="e">
        <f t="shared" si="103"/>
        <v>#DIV/0!</v>
      </c>
    </row>
    <row r="294" spans="1:7" x14ac:dyDescent="0.25">
      <c r="A294" s="18"/>
      <c r="B294" s="12" t="s">
        <v>194</v>
      </c>
      <c r="C294" s="53" t="s">
        <v>195</v>
      </c>
      <c r="D294" s="88">
        <f>637+25</f>
        <v>662</v>
      </c>
      <c r="E294" s="86">
        <f>'[1]BVC 2022 '!D294</f>
        <v>872</v>
      </c>
      <c r="F294" s="86">
        <f t="shared" ref="F294:F295" si="112">E294-D294</f>
        <v>210</v>
      </c>
      <c r="G294" s="95">
        <f t="shared" si="103"/>
        <v>31.722054380664655</v>
      </c>
    </row>
    <row r="295" spans="1:7" x14ac:dyDescent="0.25">
      <c r="A295" s="18"/>
      <c r="B295" s="33" t="s">
        <v>196</v>
      </c>
      <c r="C295" s="54" t="s">
        <v>197</v>
      </c>
      <c r="D295" s="86">
        <f>637+25</f>
        <v>662</v>
      </c>
      <c r="E295" s="86">
        <f>'[1]BVC 2022 '!D295</f>
        <v>872</v>
      </c>
      <c r="F295" s="86">
        <f t="shared" si="112"/>
        <v>210</v>
      </c>
      <c r="G295" s="95">
        <f t="shared" si="103"/>
        <v>31.722054380664655</v>
      </c>
    </row>
    <row r="296" spans="1:7" x14ac:dyDescent="0.25">
      <c r="A296" s="18" t="s">
        <v>30</v>
      </c>
      <c r="B296" s="11" t="s">
        <v>110</v>
      </c>
      <c r="C296" s="5" t="s">
        <v>243</v>
      </c>
      <c r="D296" s="88"/>
      <c r="E296" s="17"/>
      <c r="F296" s="17"/>
      <c r="G296" s="95" t="e">
        <f t="shared" si="103"/>
        <v>#DIV/0!</v>
      </c>
    </row>
    <row r="297" spans="1:7" x14ac:dyDescent="0.25">
      <c r="A297" s="18"/>
      <c r="B297" s="12" t="s">
        <v>194</v>
      </c>
      <c r="C297" s="53" t="s">
        <v>195</v>
      </c>
      <c r="D297" s="88">
        <f>2024+210</f>
        <v>2234</v>
      </c>
      <c r="E297" s="86">
        <f>'[1]BVC 2022 '!D297</f>
        <v>2308</v>
      </c>
      <c r="F297" s="86">
        <f t="shared" ref="F297:F298" si="113">E297-D297</f>
        <v>74</v>
      </c>
      <c r="G297" s="95">
        <f t="shared" si="103"/>
        <v>3.3124440465532681</v>
      </c>
    </row>
    <row r="298" spans="1:7" x14ac:dyDescent="0.25">
      <c r="A298" s="18"/>
      <c r="B298" s="33" t="s">
        <v>196</v>
      </c>
      <c r="C298" s="54" t="s">
        <v>197</v>
      </c>
      <c r="D298" s="86">
        <f>2024+210</f>
        <v>2234</v>
      </c>
      <c r="E298" s="86">
        <f>'[1]BVC 2022 '!D298</f>
        <v>2308</v>
      </c>
      <c r="F298" s="86">
        <f t="shared" si="113"/>
        <v>74</v>
      </c>
      <c r="G298" s="95">
        <f t="shared" si="103"/>
        <v>3.3124440465532681</v>
      </c>
    </row>
    <row r="299" spans="1:7" x14ac:dyDescent="0.25">
      <c r="A299" s="18" t="s">
        <v>30</v>
      </c>
      <c r="B299" s="11" t="s">
        <v>111</v>
      </c>
      <c r="C299" s="5" t="s">
        <v>112</v>
      </c>
      <c r="D299" s="88"/>
      <c r="E299" s="17"/>
      <c r="F299" s="17"/>
      <c r="G299" s="95" t="e">
        <f t="shared" si="103"/>
        <v>#DIV/0!</v>
      </c>
    </row>
    <row r="300" spans="1:7" x14ac:dyDescent="0.25">
      <c r="A300" s="18"/>
      <c r="B300" s="12" t="s">
        <v>194</v>
      </c>
      <c r="C300" s="53" t="s">
        <v>195</v>
      </c>
      <c r="D300" s="88">
        <f>3441+13</f>
        <v>3454</v>
      </c>
      <c r="E300" s="86">
        <f>'[1]BVC 2022 '!D300</f>
        <v>3361</v>
      </c>
      <c r="F300" s="86">
        <f t="shared" ref="F300:F301" si="114">E300-D300</f>
        <v>-93</v>
      </c>
      <c r="G300" s="95">
        <f t="shared" si="103"/>
        <v>-2.6925303995367686</v>
      </c>
    </row>
    <row r="301" spans="1:7" x14ac:dyDescent="0.25">
      <c r="A301" s="18"/>
      <c r="B301" s="33" t="s">
        <v>196</v>
      </c>
      <c r="C301" s="54" t="s">
        <v>197</v>
      </c>
      <c r="D301" s="86">
        <f>3441+13</f>
        <v>3454</v>
      </c>
      <c r="E301" s="86">
        <f>'[1]BVC 2022 '!D301</f>
        <v>3361</v>
      </c>
      <c r="F301" s="86">
        <f t="shared" si="114"/>
        <v>-93</v>
      </c>
      <c r="G301" s="95">
        <f t="shared" si="103"/>
        <v>-2.6925303995367686</v>
      </c>
    </row>
    <row r="302" spans="1:7" x14ac:dyDescent="0.25">
      <c r="A302" s="18" t="s">
        <v>30</v>
      </c>
      <c r="B302" s="11" t="s">
        <v>113</v>
      </c>
      <c r="C302" s="5" t="s">
        <v>244</v>
      </c>
      <c r="D302" s="88"/>
      <c r="E302" s="17"/>
      <c r="F302" s="17"/>
      <c r="G302" s="95" t="e">
        <f t="shared" si="103"/>
        <v>#DIV/0!</v>
      </c>
    </row>
    <row r="303" spans="1:7" x14ac:dyDescent="0.25">
      <c r="A303" s="18"/>
      <c r="B303" s="12" t="s">
        <v>194</v>
      </c>
      <c r="C303" s="53" t="s">
        <v>195</v>
      </c>
      <c r="D303" s="88">
        <f>31-1</f>
        <v>30</v>
      </c>
      <c r="E303" s="86">
        <f>'[1]BVC 2022 '!D303</f>
        <v>7</v>
      </c>
      <c r="F303" s="86">
        <f t="shared" ref="F303:F304" si="115">E303-D303</f>
        <v>-23</v>
      </c>
      <c r="G303" s="95">
        <f t="shared" si="103"/>
        <v>-76.666666666666671</v>
      </c>
    </row>
    <row r="304" spans="1:7" x14ac:dyDescent="0.25">
      <c r="A304" s="18"/>
      <c r="B304" s="33" t="s">
        <v>196</v>
      </c>
      <c r="C304" s="54" t="s">
        <v>197</v>
      </c>
      <c r="D304" s="86">
        <f>31-1</f>
        <v>30</v>
      </c>
      <c r="E304" s="86">
        <f>'[1]BVC 2022 '!D304</f>
        <v>7</v>
      </c>
      <c r="F304" s="86">
        <f t="shared" si="115"/>
        <v>-23</v>
      </c>
      <c r="G304" s="95">
        <f t="shared" si="103"/>
        <v>-76.666666666666671</v>
      </c>
    </row>
    <row r="305" spans="1:7" x14ac:dyDescent="0.25">
      <c r="A305" s="18" t="s">
        <v>30</v>
      </c>
      <c r="B305" s="11" t="s">
        <v>114</v>
      </c>
      <c r="C305" s="5" t="s">
        <v>186</v>
      </c>
      <c r="D305" s="88"/>
      <c r="E305" s="17"/>
      <c r="F305" s="17"/>
      <c r="G305" s="95" t="e">
        <f t="shared" si="103"/>
        <v>#DIV/0!</v>
      </c>
    </row>
    <row r="306" spans="1:7" x14ac:dyDescent="0.25">
      <c r="A306" s="18"/>
      <c r="B306" s="12" t="s">
        <v>194</v>
      </c>
      <c r="C306" s="53" t="s">
        <v>195</v>
      </c>
      <c r="D306" s="88">
        <f>151497+1520-188</f>
        <v>152829</v>
      </c>
      <c r="E306" s="86">
        <f>'[1]BVC 2022 '!D306</f>
        <v>179480</v>
      </c>
      <c r="F306" s="86">
        <f t="shared" ref="F306:F307" si="116">E306-D306</f>
        <v>26651</v>
      </c>
      <c r="G306" s="95">
        <f t="shared" si="103"/>
        <v>17.438444274319664</v>
      </c>
    </row>
    <row r="307" spans="1:7" x14ac:dyDescent="0.25">
      <c r="A307" s="18"/>
      <c r="B307" s="33" t="s">
        <v>196</v>
      </c>
      <c r="C307" s="54" t="s">
        <v>197</v>
      </c>
      <c r="D307" s="88">
        <f>151497+1520-188</f>
        <v>152829</v>
      </c>
      <c r="E307" s="86">
        <f>'[1]BVC 2022 '!D307</f>
        <v>179480</v>
      </c>
      <c r="F307" s="86">
        <f t="shared" si="116"/>
        <v>26651</v>
      </c>
      <c r="G307" s="95">
        <f t="shared" si="103"/>
        <v>17.438444274319664</v>
      </c>
    </row>
    <row r="308" spans="1:7" hidden="1" x14ac:dyDescent="0.25">
      <c r="A308" s="15" t="s">
        <v>30</v>
      </c>
      <c r="B308" s="15">
        <v>57</v>
      </c>
      <c r="C308" s="2" t="s">
        <v>271</v>
      </c>
      <c r="D308" s="16"/>
      <c r="E308" s="16"/>
      <c r="F308" s="16"/>
      <c r="G308" s="95" t="e">
        <f t="shared" si="103"/>
        <v>#DIV/0!</v>
      </c>
    </row>
    <row r="309" spans="1:7" hidden="1" x14ac:dyDescent="0.25">
      <c r="A309" s="15"/>
      <c r="B309" s="15" t="s">
        <v>194</v>
      </c>
      <c r="C309" s="25" t="s">
        <v>195</v>
      </c>
      <c r="D309" s="16">
        <f t="shared" ref="D309:F310" si="117">D312</f>
        <v>0</v>
      </c>
      <c r="E309" s="16">
        <f t="shared" si="117"/>
        <v>0</v>
      </c>
      <c r="F309" s="16">
        <f t="shared" si="117"/>
        <v>0</v>
      </c>
      <c r="G309" s="95" t="e">
        <f t="shared" si="103"/>
        <v>#DIV/0!</v>
      </c>
    </row>
    <row r="310" spans="1:7" hidden="1" x14ac:dyDescent="0.25">
      <c r="A310" s="15"/>
      <c r="B310" s="15" t="s">
        <v>196</v>
      </c>
      <c r="C310" s="25" t="s">
        <v>197</v>
      </c>
      <c r="D310" s="16">
        <f t="shared" si="117"/>
        <v>0</v>
      </c>
      <c r="E310" s="16">
        <f t="shared" si="117"/>
        <v>0</v>
      </c>
      <c r="F310" s="16">
        <f t="shared" si="117"/>
        <v>0</v>
      </c>
      <c r="G310" s="95" t="e">
        <f t="shared" si="103"/>
        <v>#DIV/0!</v>
      </c>
    </row>
    <row r="311" spans="1:7" hidden="1" x14ac:dyDescent="0.25">
      <c r="A311" s="15" t="s">
        <v>30</v>
      </c>
      <c r="B311" s="15" t="s">
        <v>276</v>
      </c>
      <c r="C311" s="2" t="s">
        <v>272</v>
      </c>
      <c r="D311" s="16"/>
      <c r="E311" s="16"/>
      <c r="F311" s="16"/>
      <c r="G311" s="95" t="e">
        <f t="shared" si="103"/>
        <v>#DIV/0!</v>
      </c>
    </row>
    <row r="312" spans="1:7" hidden="1" x14ac:dyDescent="0.25">
      <c r="A312" s="15"/>
      <c r="B312" s="15" t="s">
        <v>194</v>
      </c>
      <c r="C312" s="25" t="s">
        <v>195</v>
      </c>
      <c r="D312" s="16">
        <f t="shared" ref="D312:F313" si="118">D315</f>
        <v>0</v>
      </c>
      <c r="E312" s="16">
        <f t="shared" si="118"/>
        <v>0</v>
      </c>
      <c r="F312" s="16">
        <f t="shared" si="118"/>
        <v>0</v>
      </c>
      <c r="G312" s="95" t="e">
        <f t="shared" si="103"/>
        <v>#DIV/0!</v>
      </c>
    </row>
    <row r="313" spans="1:7" hidden="1" x14ac:dyDescent="0.25">
      <c r="A313" s="15"/>
      <c r="B313" s="15" t="s">
        <v>196</v>
      </c>
      <c r="C313" s="25" t="s">
        <v>197</v>
      </c>
      <c r="D313" s="16">
        <f t="shared" si="118"/>
        <v>0</v>
      </c>
      <c r="E313" s="16">
        <f t="shared" si="118"/>
        <v>0</v>
      </c>
      <c r="F313" s="16">
        <f t="shared" si="118"/>
        <v>0</v>
      </c>
      <c r="G313" s="95" t="e">
        <f t="shared" si="103"/>
        <v>#DIV/0!</v>
      </c>
    </row>
    <row r="314" spans="1:7" hidden="1" x14ac:dyDescent="0.25">
      <c r="A314" s="18" t="s">
        <v>30</v>
      </c>
      <c r="B314" s="18" t="s">
        <v>277</v>
      </c>
      <c r="C314" s="5" t="s">
        <v>273</v>
      </c>
      <c r="D314" s="17"/>
      <c r="E314" s="17"/>
      <c r="F314" s="17"/>
      <c r="G314" s="95" t="e">
        <f t="shared" si="103"/>
        <v>#DIV/0!</v>
      </c>
    </row>
    <row r="315" spans="1:7" hidden="1" x14ac:dyDescent="0.25">
      <c r="A315" s="18"/>
      <c r="B315" s="12" t="s">
        <v>194</v>
      </c>
      <c r="C315" s="53" t="s">
        <v>195</v>
      </c>
      <c r="D315" s="17"/>
      <c r="E315" s="86">
        <f>'[1]BVC 2022 '!D315</f>
        <v>0</v>
      </c>
      <c r="F315" s="86">
        <f t="shared" ref="F315:F316" si="119">E315-D315</f>
        <v>0</v>
      </c>
      <c r="G315" s="95" t="e">
        <f t="shared" si="103"/>
        <v>#DIV/0!</v>
      </c>
    </row>
    <row r="316" spans="1:7" hidden="1" x14ac:dyDescent="0.25">
      <c r="A316" s="18"/>
      <c r="B316" s="33" t="s">
        <v>196</v>
      </c>
      <c r="C316" s="54" t="s">
        <v>197</v>
      </c>
      <c r="D316" s="17"/>
      <c r="E316" s="86">
        <f>'[1]BVC 2022 '!D316</f>
        <v>0</v>
      </c>
      <c r="F316" s="86">
        <f t="shared" si="119"/>
        <v>0</v>
      </c>
      <c r="G316" s="95" t="e">
        <f t="shared" si="103"/>
        <v>#DIV/0!</v>
      </c>
    </row>
    <row r="317" spans="1:7" ht="38.25" x14ac:dyDescent="0.25">
      <c r="A317" s="26" t="s">
        <v>30</v>
      </c>
      <c r="B317" s="26" t="s">
        <v>35</v>
      </c>
      <c r="C317" s="40" t="s">
        <v>200</v>
      </c>
      <c r="D317" s="30"/>
      <c r="E317" s="30"/>
      <c r="F317" s="30"/>
      <c r="G317" s="95" t="e">
        <f t="shared" si="103"/>
        <v>#DIV/0!</v>
      </c>
    </row>
    <row r="318" spans="1:7" x14ac:dyDescent="0.25">
      <c r="A318" s="26"/>
      <c r="B318" s="15" t="s">
        <v>194</v>
      </c>
      <c r="C318" s="25" t="s">
        <v>195</v>
      </c>
      <c r="D318" s="30">
        <f>D321+D342+D363+D333+D351</f>
        <v>9326</v>
      </c>
      <c r="E318" s="30">
        <f t="shared" ref="E318:F319" si="120">E321+E342+E363+E333+E351</f>
        <v>5478</v>
      </c>
      <c r="F318" s="30">
        <f t="shared" si="120"/>
        <v>-3848</v>
      </c>
      <c r="G318" s="95">
        <f t="shared" si="103"/>
        <v>-41.260990778468795</v>
      </c>
    </row>
    <row r="319" spans="1:7" x14ac:dyDescent="0.25">
      <c r="A319" s="26"/>
      <c r="B319" s="15" t="s">
        <v>196</v>
      </c>
      <c r="C319" s="25" t="s">
        <v>197</v>
      </c>
      <c r="D319" s="30">
        <f>D322+D343+D364+D334+D352</f>
        <v>10824</v>
      </c>
      <c r="E319" s="30">
        <f t="shared" si="120"/>
        <v>6976</v>
      </c>
      <c r="F319" s="30">
        <f t="shared" si="120"/>
        <v>-3848</v>
      </c>
      <c r="G319" s="95">
        <f t="shared" si="103"/>
        <v>-35.550628233555067</v>
      </c>
    </row>
    <row r="320" spans="1:7" ht="23.25" customHeight="1" x14ac:dyDescent="0.25">
      <c r="A320" s="31" t="s">
        <v>30</v>
      </c>
      <c r="B320" s="31" t="s">
        <v>117</v>
      </c>
      <c r="C320" s="64" t="s">
        <v>247</v>
      </c>
      <c r="D320" s="65"/>
      <c r="E320" s="65"/>
      <c r="F320" s="65"/>
      <c r="G320" s="95" t="e">
        <f t="shared" si="103"/>
        <v>#DIV/0!</v>
      </c>
    </row>
    <row r="321" spans="1:7" x14ac:dyDescent="0.25">
      <c r="A321" s="31"/>
      <c r="B321" s="15" t="s">
        <v>194</v>
      </c>
      <c r="C321" s="25" t="s">
        <v>195</v>
      </c>
      <c r="D321" s="65">
        <f t="shared" ref="D321:F322" si="121">D324+D327+D330</f>
        <v>712</v>
      </c>
      <c r="E321" s="65">
        <f t="shared" si="121"/>
        <v>587</v>
      </c>
      <c r="F321" s="65">
        <f t="shared" si="121"/>
        <v>-125</v>
      </c>
      <c r="G321" s="95">
        <f t="shared" si="103"/>
        <v>-17.556179775280899</v>
      </c>
    </row>
    <row r="322" spans="1:7" x14ac:dyDescent="0.25">
      <c r="A322" s="31"/>
      <c r="B322" s="15" t="s">
        <v>196</v>
      </c>
      <c r="C322" s="25" t="s">
        <v>197</v>
      </c>
      <c r="D322" s="65">
        <f t="shared" si="121"/>
        <v>1953</v>
      </c>
      <c r="E322" s="65">
        <f t="shared" si="121"/>
        <v>1828</v>
      </c>
      <c r="F322" s="65">
        <f t="shared" si="121"/>
        <v>-125</v>
      </c>
      <c r="G322" s="95">
        <f t="shared" si="103"/>
        <v>-6.4004096262160779</v>
      </c>
    </row>
    <row r="323" spans="1:7" x14ac:dyDescent="0.25">
      <c r="A323" s="66" t="s">
        <v>30</v>
      </c>
      <c r="B323" s="66" t="s">
        <v>118</v>
      </c>
      <c r="C323" s="61" t="s">
        <v>245</v>
      </c>
      <c r="D323" s="62"/>
      <c r="E323" s="62"/>
      <c r="F323" s="62"/>
      <c r="G323" s="95" t="e">
        <f t="shared" si="103"/>
        <v>#DIV/0!</v>
      </c>
    </row>
    <row r="324" spans="1:7" x14ac:dyDescent="0.25">
      <c r="A324" s="66"/>
      <c r="B324" s="12" t="s">
        <v>194</v>
      </c>
      <c r="C324" s="53" t="s">
        <v>195</v>
      </c>
      <c r="D324" s="88">
        <f>612-606</f>
        <v>6</v>
      </c>
      <c r="E324" s="86">
        <f>'[1]BVC 2022 '!D324</f>
        <v>3</v>
      </c>
      <c r="F324" s="86">
        <f t="shared" ref="F324:F325" si="122">E324-D324</f>
        <v>-3</v>
      </c>
      <c r="G324" s="95">
        <f t="shared" si="103"/>
        <v>-50</v>
      </c>
    </row>
    <row r="325" spans="1:7" x14ac:dyDescent="0.25">
      <c r="A325" s="66"/>
      <c r="B325" s="33" t="s">
        <v>196</v>
      </c>
      <c r="C325" s="54" t="s">
        <v>197</v>
      </c>
      <c r="D325" s="86">
        <f>771-607</f>
        <v>164</v>
      </c>
      <c r="E325" s="86">
        <f>'[1]BVC 2022 '!D325</f>
        <v>161</v>
      </c>
      <c r="F325" s="86">
        <f t="shared" si="122"/>
        <v>-3</v>
      </c>
      <c r="G325" s="95">
        <f t="shared" si="103"/>
        <v>-1.8292682926829267</v>
      </c>
    </row>
    <row r="326" spans="1:7" x14ac:dyDescent="0.25">
      <c r="A326" s="12" t="s">
        <v>30</v>
      </c>
      <c r="B326" s="12" t="s">
        <v>119</v>
      </c>
      <c r="C326" s="67" t="s">
        <v>248</v>
      </c>
      <c r="D326" s="130"/>
      <c r="E326" s="68"/>
      <c r="F326" s="68"/>
      <c r="G326" s="95" t="e">
        <f t="shared" si="103"/>
        <v>#DIV/0!</v>
      </c>
    </row>
    <row r="327" spans="1:7" x14ac:dyDescent="0.25">
      <c r="A327" s="12"/>
      <c r="B327" s="12" t="s">
        <v>194</v>
      </c>
      <c r="C327" s="53" t="s">
        <v>195</v>
      </c>
      <c r="D327" s="88">
        <f>127+502</f>
        <v>629</v>
      </c>
      <c r="E327" s="86">
        <f>'[1]BVC 2022 '!D327</f>
        <v>579</v>
      </c>
      <c r="F327" s="86">
        <f t="shared" ref="F327:F328" si="123">E327-D327</f>
        <v>-50</v>
      </c>
      <c r="G327" s="95">
        <f t="shared" si="103"/>
        <v>-7.9491255961844196</v>
      </c>
    </row>
    <row r="328" spans="1:7" x14ac:dyDescent="0.25">
      <c r="A328" s="12"/>
      <c r="B328" s="33" t="s">
        <v>196</v>
      </c>
      <c r="C328" s="54" t="s">
        <v>197</v>
      </c>
      <c r="D328" s="86">
        <f>1018+497</f>
        <v>1515</v>
      </c>
      <c r="E328" s="86">
        <f>'[1]BVC 2022 '!D328</f>
        <v>1465</v>
      </c>
      <c r="F328" s="86">
        <f t="shared" si="123"/>
        <v>-50</v>
      </c>
      <c r="G328" s="95">
        <f t="shared" si="103"/>
        <v>-3.3003300330032999</v>
      </c>
    </row>
    <row r="329" spans="1:7" x14ac:dyDescent="0.25">
      <c r="A329" s="12" t="s">
        <v>30</v>
      </c>
      <c r="B329" s="12" t="s">
        <v>120</v>
      </c>
      <c r="C329" s="61" t="s">
        <v>116</v>
      </c>
      <c r="D329" s="131"/>
      <c r="E329" s="62"/>
      <c r="F329" s="62"/>
      <c r="G329" s="95" t="e">
        <f t="shared" si="103"/>
        <v>#DIV/0!</v>
      </c>
    </row>
    <row r="330" spans="1:7" x14ac:dyDescent="0.25">
      <c r="A330" s="12"/>
      <c r="B330" s="12" t="s">
        <v>194</v>
      </c>
      <c r="C330" s="53" t="s">
        <v>195</v>
      </c>
      <c r="D330" s="88">
        <f>13+64</f>
        <v>77</v>
      </c>
      <c r="E330" s="86">
        <f>'[1]BVC 2022 '!D330</f>
        <v>5</v>
      </c>
      <c r="F330" s="86">
        <f t="shared" ref="F330:F331" si="124">E330-D330</f>
        <v>-72</v>
      </c>
      <c r="G330" s="95">
        <f t="shared" ref="G330:G393" si="125">F330/D330*100</f>
        <v>-93.506493506493499</v>
      </c>
    </row>
    <row r="331" spans="1:7" x14ac:dyDescent="0.25">
      <c r="A331" s="12"/>
      <c r="B331" s="33" t="s">
        <v>196</v>
      </c>
      <c r="C331" s="54" t="s">
        <v>197</v>
      </c>
      <c r="D331" s="86">
        <f>211+63</f>
        <v>274</v>
      </c>
      <c r="E331" s="86">
        <f>'[1]BVC 2022 '!D331</f>
        <v>202</v>
      </c>
      <c r="F331" s="86">
        <f t="shared" si="124"/>
        <v>-72</v>
      </c>
      <c r="G331" s="95">
        <f t="shared" si="125"/>
        <v>-26.277372262773724</v>
      </c>
    </row>
    <row r="332" spans="1:7" x14ac:dyDescent="0.25">
      <c r="A332" s="31" t="s">
        <v>30</v>
      </c>
      <c r="B332" s="31" t="s">
        <v>281</v>
      </c>
      <c r="C332" s="64" t="s">
        <v>279</v>
      </c>
      <c r="D332" s="65"/>
      <c r="E332" s="65"/>
      <c r="F332" s="65"/>
      <c r="G332" s="95" t="e">
        <f t="shared" si="125"/>
        <v>#DIV/0!</v>
      </c>
    </row>
    <row r="333" spans="1:7" x14ac:dyDescent="0.25">
      <c r="A333" s="31"/>
      <c r="B333" s="15" t="s">
        <v>194</v>
      </c>
      <c r="C333" s="25" t="s">
        <v>195</v>
      </c>
      <c r="D333" s="65">
        <f t="shared" ref="D333:F334" si="126">D336+D339</f>
        <v>7764</v>
      </c>
      <c r="E333" s="65">
        <f t="shared" si="126"/>
        <v>4041</v>
      </c>
      <c r="F333" s="65">
        <f t="shared" si="126"/>
        <v>-3723</v>
      </c>
      <c r="G333" s="95">
        <f t="shared" si="125"/>
        <v>-47.952086553323028</v>
      </c>
    </row>
    <row r="334" spans="1:7" x14ac:dyDescent="0.25">
      <c r="A334" s="31"/>
      <c r="B334" s="15" t="s">
        <v>196</v>
      </c>
      <c r="C334" s="25" t="s">
        <v>197</v>
      </c>
      <c r="D334" s="65">
        <f t="shared" si="126"/>
        <v>7764</v>
      </c>
      <c r="E334" s="65">
        <f t="shared" si="126"/>
        <v>4041</v>
      </c>
      <c r="F334" s="65">
        <f t="shared" si="126"/>
        <v>-3723</v>
      </c>
      <c r="G334" s="95">
        <f t="shared" si="125"/>
        <v>-47.952086553323028</v>
      </c>
    </row>
    <row r="335" spans="1:7" hidden="1" x14ac:dyDescent="0.25">
      <c r="A335" s="66" t="s">
        <v>30</v>
      </c>
      <c r="B335" s="66" t="s">
        <v>282</v>
      </c>
      <c r="C335" s="5" t="s">
        <v>245</v>
      </c>
      <c r="D335" s="17"/>
      <c r="E335" s="17"/>
      <c r="F335" s="17"/>
      <c r="G335" s="95" t="e">
        <f t="shared" si="125"/>
        <v>#DIV/0!</v>
      </c>
    </row>
    <row r="336" spans="1:7" hidden="1" x14ac:dyDescent="0.25">
      <c r="A336" s="66"/>
      <c r="B336" s="12" t="s">
        <v>194</v>
      </c>
      <c r="C336" s="53" t="s">
        <v>195</v>
      </c>
      <c r="D336" s="17"/>
      <c r="E336" s="17"/>
      <c r="F336" s="17"/>
      <c r="G336" s="95" t="e">
        <f t="shared" si="125"/>
        <v>#DIV/0!</v>
      </c>
    </row>
    <row r="337" spans="1:7" hidden="1" x14ac:dyDescent="0.25">
      <c r="A337" s="66"/>
      <c r="B337" s="33" t="s">
        <v>196</v>
      </c>
      <c r="C337" s="54" t="s">
        <v>197</v>
      </c>
      <c r="D337" s="29"/>
      <c r="E337" s="29"/>
      <c r="F337" s="29"/>
      <c r="G337" s="95" t="e">
        <f t="shared" si="125"/>
        <v>#DIV/0!</v>
      </c>
    </row>
    <row r="338" spans="1:7" x14ac:dyDescent="0.25">
      <c r="A338" s="12" t="s">
        <v>30</v>
      </c>
      <c r="B338" s="12" t="s">
        <v>283</v>
      </c>
      <c r="C338" s="69" t="s">
        <v>248</v>
      </c>
      <c r="D338" s="70"/>
      <c r="E338" s="70"/>
      <c r="F338" s="70"/>
      <c r="G338" s="95" t="e">
        <f t="shared" si="125"/>
        <v>#DIV/0!</v>
      </c>
    </row>
    <row r="339" spans="1:7" x14ac:dyDescent="0.25">
      <c r="A339" s="12"/>
      <c r="B339" s="12" t="s">
        <v>194</v>
      </c>
      <c r="C339" s="53" t="s">
        <v>195</v>
      </c>
      <c r="D339" s="88">
        <f>7974-210</f>
        <v>7764</v>
      </c>
      <c r="E339" s="86">
        <f>'[1]BVC 2022 '!D339</f>
        <v>4041</v>
      </c>
      <c r="F339" s="86">
        <f t="shared" ref="F339:F340" si="127">E339-D339</f>
        <v>-3723</v>
      </c>
      <c r="G339" s="95">
        <f t="shared" si="125"/>
        <v>-47.952086553323028</v>
      </c>
    </row>
    <row r="340" spans="1:7" x14ac:dyDescent="0.25">
      <c r="A340" s="12"/>
      <c r="B340" s="33" t="s">
        <v>196</v>
      </c>
      <c r="C340" s="54" t="s">
        <v>197</v>
      </c>
      <c r="D340" s="88">
        <f>7974-210</f>
        <v>7764</v>
      </c>
      <c r="E340" s="86">
        <f>'[1]BVC 2022 '!D340</f>
        <v>4041</v>
      </c>
      <c r="F340" s="86">
        <f t="shared" si="127"/>
        <v>-3723</v>
      </c>
      <c r="G340" s="95">
        <f t="shared" si="125"/>
        <v>-47.952086553323028</v>
      </c>
    </row>
    <row r="341" spans="1:7" ht="17.25" customHeight="1" x14ac:dyDescent="0.25">
      <c r="A341" s="31" t="s">
        <v>30</v>
      </c>
      <c r="B341" s="31" t="s">
        <v>121</v>
      </c>
      <c r="C341" s="64" t="s">
        <v>122</v>
      </c>
      <c r="D341" s="65"/>
      <c r="E341" s="65"/>
      <c r="F341" s="65"/>
      <c r="G341" s="95" t="e">
        <f t="shared" si="125"/>
        <v>#DIV/0!</v>
      </c>
    </row>
    <row r="342" spans="1:7" x14ac:dyDescent="0.25">
      <c r="A342" s="31"/>
      <c r="B342" s="15" t="s">
        <v>194</v>
      </c>
      <c r="C342" s="25" t="s">
        <v>195</v>
      </c>
      <c r="D342" s="65">
        <f t="shared" ref="D342:F343" si="128">D345+D348</f>
        <v>250</v>
      </c>
      <c r="E342" s="65">
        <f t="shared" si="128"/>
        <v>250</v>
      </c>
      <c r="F342" s="65">
        <f t="shared" si="128"/>
        <v>0</v>
      </c>
      <c r="G342" s="95">
        <f t="shared" si="125"/>
        <v>0</v>
      </c>
    </row>
    <row r="343" spans="1:7" x14ac:dyDescent="0.25">
      <c r="A343" s="31"/>
      <c r="B343" s="15" t="s">
        <v>196</v>
      </c>
      <c r="C343" s="25" t="s">
        <v>197</v>
      </c>
      <c r="D343" s="65">
        <f t="shared" si="128"/>
        <v>507</v>
      </c>
      <c r="E343" s="65">
        <f t="shared" si="128"/>
        <v>507</v>
      </c>
      <c r="F343" s="65">
        <f t="shared" si="128"/>
        <v>0</v>
      </c>
      <c r="G343" s="95">
        <f t="shared" si="125"/>
        <v>0</v>
      </c>
    </row>
    <row r="344" spans="1:7" x14ac:dyDescent="0.25">
      <c r="A344" s="66" t="s">
        <v>30</v>
      </c>
      <c r="B344" s="66" t="s">
        <v>123</v>
      </c>
      <c r="C344" s="5" t="s">
        <v>245</v>
      </c>
      <c r="D344" s="17"/>
      <c r="E344" s="17"/>
      <c r="F344" s="17"/>
      <c r="G344" s="95" t="e">
        <f t="shared" si="125"/>
        <v>#DIV/0!</v>
      </c>
    </row>
    <row r="345" spans="1:7" x14ac:dyDescent="0.25">
      <c r="A345" s="66"/>
      <c r="B345" s="12" t="s">
        <v>194</v>
      </c>
      <c r="C345" s="53" t="s">
        <v>195</v>
      </c>
      <c r="D345" s="88">
        <f>0+38</f>
        <v>38</v>
      </c>
      <c r="E345" s="86">
        <f>'[1]BVC 2022 '!D345</f>
        <v>38</v>
      </c>
      <c r="F345" s="86">
        <f t="shared" ref="F345:F346" si="129">E345-D345</f>
        <v>0</v>
      </c>
      <c r="G345" s="95">
        <f t="shared" si="125"/>
        <v>0</v>
      </c>
    </row>
    <row r="346" spans="1:7" x14ac:dyDescent="0.25">
      <c r="A346" s="66"/>
      <c r="B346" s="33" t="s">
        <v>196</v>
      </c>
      <c r="C346" s="54" t="s">
        <v>197</v>
      </c>
      <c r="D346" s="86">
        <f>212-174</f>
        <v>38</v>
      </c>
      <c r="E346" s="86">
        <f>'[1]BVC 2022 '!D346</f>
        <v>38</v>
      </c>
      <c r="F346" s="86">
        <f t="shared" si="129"/>
        <v>0</v>
      </c>
      <c r="G346" s="95">
        <f t="shared" si="125"/>
        <v>0</v>
      </c>
    </row>
    <row r="347" spans="1:7" x14ac:dyDescent="0.25">
      <c r="A347" s="12" t="s">
        <v>30</v>
      </c>
      <c r="B347" s="12" t="s">
        <v>124</v>
      </c>
      <c r="C347" s="69" t="s">
        <v>248</v>
      </c>
      <c r="D347" s="119"/>
      <c r="E347" s="70"/>
      <c r="F347" s="70"/>
      <c r="G347" s="95" t="e">
        <f t="shared" si="125"/>
        <v>#DIV/0!</v>
      </c>
    </row>
    <row r="348" spans="1:7" x14ac:dyDescent="0.25">
      <c r="A348" s="12"/>
      <c r="B348" s="12" t="s">
        <v>194</v>
      </c>
      <c r="C348" s="53" t="s">
        <v>195</v>
      </c>
      <c r="D348" s="88">
        <f>0+212</f>
        <v>212</v>
      </c>
      <c r="E348" s="86">
        <f>'[1]BVC 2022 '!D348</f>
        <v>212</v>
      </c>
      <c r="F348" s="86">
        <f t="shared" ref="F348:F349" si="130">E348-D348</f>
        <v>0</v>
      </c>
      <c r="G348" s="95">
        <f t="shared" si="125"/>
        <v>0</v>
      </c>
    </row>
    <row r="349" spans="1:7" x14ac:dyDescent="0.25">
      <c r="A349" s="12"/>
      <c r="B349" s="33" t="s">
        <v>196</v>
      </c>
      <c r="C349" s="54" t="s">
        <v>197</v>
      </c>
      <c r="D349" s="86">
        <f>38+431</f>
        <v>469</v>
      </c>
      <c r="E349" s="86">
        <f>'[1]BVC 2022 '!D349</f>
        <v>469</v>
      </c>
      <c r="F349" s="86">
        <f t="shared" si="130"/>
        <v>0</v>
      </c>
      <c r="G349" s="95">
        <f t="shared" si="125"/>
        <v>0</v>
      </c>
    </row>
    <row r="350" spans="1:7" x14ac:dyDescent="0.25">
      <c r="A350" s="31" t="s">
        <v>30</v>
      </c>
      <c r="B350" s="31" t="s">
        <v>300</v>
      </c>
      <c r="C350" s="90" t="s">
        <v>299</v>
      </c>
      <c r="D350" s="65"/>
      <c r="E350" s="65"/>
      <c r="F350" s="65"/>
      <c r="G350" s="95" t="e">
        <f t="shared" si="125"/>
        <v>#DIV/0!</v>
      </c>
    </row>
    <row r="351" spans="1:7" x14ac:dyDescent="0.25">
      <c r="A351" s="31"/>
      <c r="B351" s="15" t="s">
        <v>194</v>
      </c>
      <c r="C351" s="25" t="s">
        <v>195</v>
      </c>
      <c r="D351" s="65">
        <f>D354+D357+D360</f>
        <v>287</v>
      </c>
      <c r="E351" s="65">
        <f t="shared" ref="E351:F352" si="131">E354+E357+E360</f>
        <v>287</v>
      </c>
      <c r="F351" s="65">
        <f t="shared" si="131"/>
        <v>0</v>
      </c>
      <c r="G351" s="95">
        <f t="shared" si="125"/>
        <v>0</v>
      </c>
    </row>
    <row r="352" spans="1:7" x14ac:dyDescent="0.25">
      <c r="A352" s="31"/>
      <c r="B352" s="15" t="s">
        <v>196</v>
      </c>
      <c r="C352" s="25" t="s">
        <v>197</v>
      </c>
      <c r="D352" s="65">
        <f>D355+D358+D361</f>
        <v>287</v>
      </c>
      <c r="E352" s="65">
        <f t="shared" si="131"/>
        <v>287</v>
      </c>
      <c r="F352" s="65">
        <f t="shared" si="131"/>
        <v>0</v>
      </c>
      <c r="G352" s="95">
        <f t="shared" si="125"/>
        <v>0</v>
      </c>
    </row>
    <row r="353" spans="1:7" x14ac:dyDescent="0.25">
      <c r="A353" s="66" t="s">
        <v>30</v>
      </c>
      <c r="B353" s="66" t="s">
        <v>301</v>
      </c>
      <c r="C353" s="5" t="s">
        <v>245</v>
      </c>
      <c r="D353" s="17"/>
      <c r="E353" s="17"/>
      <c r="F353" s="17"/>
      <c r="G353" s="95" t="e">
        <f t="shared" si="125"/>
        <v>#DIV/0!</v>
      </c>
    </row>
    <row r="354" spans="1:7" x14ac:dyDescent="0.25">
      <c r="A354" s="66"/>
      <c r="B354" s="12" t="s">
        <v>194</v>
      </c>
      <c r="C354" s="53" t="s">
        <v>195</v>
      </c>
      <c r="D354" s="17">
        <v>54</v>
      </c>
      <c r="E354" s="86">
        <f>'[1]BVC 2022 '!D354</f>
        <v>54</v>
      </c>
      <c r="F354" s="86">
        <f t="shared" ref="F354:F355" si="132">E354-D354</f>
        <v>0</v>
      </c>
      <c r="G354" s="95">
        <f t="shared" si="125"/>
        <v>0</v>
      </c>
    </row>
    <row r="355" spans="1:7" x14ac:dyDescent="0.25">
      <c r="A355" s="66"/>
      <c r="B355" s="33" t="s">
        <v>196</v>
      </c>
      <c r="C355" s="54" t="s">
        <v>197</v>
      </c>
      <c r="D355" s="17">
        <v>54</v>
      </c>
      <c r="E355" s="86">
        <f>'[1]BVC 2022 '!D355</f>
        <v>54</v>
      </c>
      <c r="F355" s="86">
        <f t="shared" si="132"/>
        <v>0</v>
      </c>
      <c r="G355" s="95">
        <f t="shared" si="125"/>
        <v>0</v>
      </c>
    </row>
    <row r="356" spans="1:7" x14ac:dyDescent="0.25">
      <c r="A356" s="12" t="s">
        <v>30</v>
      </c>
      <c r="B356" s="12" t="s">
        <v>302</v>
      </c>
      <c r="C356" s="69" t="s">
        <v>248</v>
      </c>
      <c r="D356" s="70"/>
      <c r="E356" s="70"/>
      <c r="F356" s="70"/>
      <c r="G356" s="95" t="e">
        <f t="shared" si="125"/>
        <v>#DIV/0!</v>
      </c>
    </row>
    <row r="357" spans="1:7" x14ac:dyDescent="0.25">
      <c r="A357" s="12"/>
      <c r="B357" s="12" t="s">
        <v>194</v>
      </c>
      <c r="C357" s="53" t="s">
        <v>195</v>
      </c>
      <c r="D357" s="17">
        <v>195</v>
      </c>
      <c r="E357" s="86">
        <f>'[1]BVC 2022 '!D357</f>
        <v>195</v>
      </c>
      <c r="F357" s="86">
        <f t="shared" ref="F357:F358" si="133">E357-D357</f>
        <v>0</v>
      </c>
      <c r="G357" s="95">
        <f t="shared" si="125"/>
        <v>0</v>
      </c>
    </row>
    <row r="358" spans="1:7" x14ac:dyDescent="0.25">
      <c r="A358" s="12"/>
      <c r="B358" s="33" t="s">
        <v>196</v>
      </c>
      <c r="C358" s="54" t="s">
        <v>197</v>
      </c>
      <c r="D358" s="17">
        <v>195</v>
      </c>
      <c r="E358" s="86">
        <f>'[1]BVC 2022 '!D358</f>
        <v>195</v>
      </c>
      <c r="F358" s="86">
        <f t="shared" si="133"/>
        <v>0</v>
      </c>
      <c r="G358" s="95">
        <f t="shared" si="125"/>
        <v>0</v>
      </c>
    </row>
    <row r="359" spans="1:7" x14ac:dyDescent="0.25">
      <c r="A359" s="12" t="s">
        <v>30</v>
      </c>
      <c r="B359" s="12" t="s">
        <v>313</v>
      </c>
      <c r="C359" s="61" t="s">
        <v>116</v>
      </c>
      <c r="D359" s="70"/>
      <c r="E359" s="70"/>
      <c r="F359" s="70"/>
      <c r="G359" s="95" t="e">
        <f t="shared" si="125"/>
        <v>#DIV/0!</v>
      </c>
    </row>
    <row r="360" spans="1:7" x14ac:dyDescent="0.25">
      <c r="A360" s="12"/>
      <c r="B360" s="12" t="s">
        <v>194</v>
      </c>
      <c r="C360" s="53" t="s">
        <v>195</v>
      </c>
      <c r="D360" s="17">
        <v>38</v>
      </c>
      <c r="E360" s="86">
        <f>'[1]BVC 2022 '!D360</f>
        <v>38</v>
      </c>
      <c r="F360" s="86">
        <f t="shared" ref="F360:F361" si="134">E360-D360</f>
        <v>0</v>
      </c>
      <c r="G360" s="95">
        <f t="shared" si="125"/>
        <v>0</v>
      </c>
    </row>
    <row r="361" spans="1:7" x14ac:dyDescent="0.25">
      <c r="A361" s="12"/>
      <c r="B361" s="33" t="s">
        <v>196</v>
      </c>
      <c r="C361" s="54" t="s">
        <v>197</v>
      </c>
      <c r="D361" s="17">
        <v>38</v>
      </c>
      <c r="E361" s="86">
        <f>'[1]BVC 2022 '!D361</f>
        <v>38</v>
      </c>
      <c r="F361" s="86">
        <f t="shared" si="134"/>
        <v>0</v>
      </c>
      <c r="G361" s="95">
        <f t="shared" si="125"/>
        <v>0</v>
      </c>
    </row>
    <row r="362" spans="1:7" x14ac:dyDescent="0.25">
      <c r="A362" s="31" t="s">
        <v>30</v>
      </c>
      <c r="B362" s="31" t="s">
        <v>125</v>
      </c>
      <c r="C362" s="71" t="s">
        <v>191</v>
      </c>
      <c r="D362" s="72"/>
      <c r="E362" s="72"/>
      <c r="F362" s="72"/>
      <c r="G362" s="95" t="e">
        <f t="shared" si="125"/>
        <v>#DIV/0!</v>
      </c>
    </row>
    <row r="363" spans="1:7" x14ac:dyDescent="0.25">
      <c r="A363" s="31"/>
      <c r="B363" s="15" t="s">
        <v>194</v>
      </c>
      <c r="C363" s="25" t="s">
        <v>195</v>
      </c>
      <c r="D363" s="72">
        <f t="shared" ref="D363:F364" si="135">D369+D372+D366</f>
        <v>313</v>
      </c>
      <c r="E363" s="72">
        <f t="shared" si="135"/>
        <v>313</v>
      </c>
      <c r="F363" s="72">
        <f t="shared" si="135"/>
        <v>0</v>
      </c>
      <c r="G363" s="95">
        <f t="shared" si="125"/>
        <v>0</v>
      </c>
    </row>
    <row r="364" spans="1:7" x14ac:dyDescent="0.25">
      <c r="A364" s="31"/>
      <c r="B364" s="15" t="s">
        <v>196</v>
      </c>
      <c r="C364" s="25" t="s">
        <v>197</v>
      </c>
      <c r="D364" s="72">
        <f t="shared" si="135"/>
        <v>313</v>
      </c>
      <c r="E364" s="72">
        <f t="shared" si="135"/>
        <v>313</v>
      </c>
      <c r="F364" s="72">
        <f t="shared" si="135"/>
        <v>0</v>
      </c>
      <c r="G364" s="95">
        <f t="shared" si="125"/>
        <v>0</v>
      </c>
    </row>
    <row r="365" spans="1:7" x14ac:dyDescent="0.25">
      <c r="A365" s="12" t="s">
        <v>30</v>
      </c>
      <c r="B365" s="12" t="s">
        <v>280</v>
      </c>
      <c r="C365" s="5" t="s">
        <v>245</v>
      </c>
      <c r="D365" s="70"/>
      <c r="E365" s="70"/>
      <c r="F365" s="70"/>
      <c r="G365" s="95" t="e">
        <f t="shared" si="125"/>
        <v>#DIV/0!</v>
      </c>
    </row>
    <row r="366" spans="1:7" x14ac:dyDescent="0.25">
      <c r="A366" s="12"/>
      <c r="B366" s="12" t="s">
        <v>194</v>
      </c>
      <c r="C366" s="53" t="s">
        <v>195</v>
      </c>
      <c r="D366" s="17">
        <v>38</v>
      </c>
      <c r="E366" s="86">
        <f>'[1]BVC 2022 '!D366</f>
        <v>38</v>
      </c>
      <c r="F366" s="86">
        <f t="shared" ref="F366:F367" si="136">E366-D366</f>
        <v>0</v>
      </c>
      <c r="G366" s="95">
        <f t="shared" si="125"/>
        <v>0</v>
      </c>
    </row>
    <row r="367" spans="1:7" x14ac:dyDescent="0.25">
      <c r="A367" s="12"/>
      <c r="B367" s="33" t="s">
        <v>196</v>
      </c>
      <c r="C367" s="54" t="s">
        <v>197</v>
      </c>
      <c r="D367" s="17">
        <v>38</v>
      </c>
      <c r="E367" s="86">
        <f>'[1]BVC 2022 '!D367</f>
        <v>38</v>
      </c>
      <c r="F367" s="86">
        <f t="shared" si="136"/>
        <v>0</v>
      </c>
      <c r="G367" s="95">
        <f t="shared" si="125"/>
        <v>0</v>
      </c>
    </row>
    <row r="368" spans="1:7" x14ac:dyDescent="0.25">
      <c r="A368" s="12" t="s">
        <v>30</v>
      </c>
      <c r="B368" s="12" t="s">
        <v>126</v>
      </c>
      <c r="C368" s="69" t="s">
        <v>248</v>
      </c>
      <c r="D368" s="70"/>
      <c r="E368" s="70"/>
      <c r="F368" s="70"/>
      <c r="G368" s="95" t="e">
        <f t="shared" si="125"/>
        <v>#DIV/0!</v>
      </c>
    </row>
    <row r="369" spans="1:7" x14ac:dyDescent="0.25">
      <c r="A369" s="12"/>
      <c r="B369" s="12" t="s">
        <v>194</v>
      </c>
      <c r="C369" s="53" t="s">
        <v>195</v>
      </c>
      <c r="D369" s="17">
        <v>275</v>
      </c>
      <c r="E369" s="86">
        <f>'[1]BVC 2022 '!D369</f>
        <v>275</v>
      </c>
      <c r="F369" s="86">
        <f t="shared" ref="F369:F370" si="137">E369-D369</f>
        <v>0</v>
      </c>
      <c r="G369" s="95">
        <f t="shared" si="125"/>
        <v>0</v>
      </c>
    </row>
    <row r="370" spans="1:7" x14ac:dyDescent="0.25">
      <c r="A370" s="12"/>
      <c r="B370" s="33" t="s">
        <v>196</v>
      </c>
      <c r="C370" s="54" t="s">
        <v>197</v>
      </c>
      <c r="D370" s="17">
        <v>275</v>
      </c>
      <c r="E370" s="86">
        <f>'[1]BVC 2022 '!D370</f>
        <v>275</v>
      </c>
      <c r="F370" s="86">
        <f t="shared" si="137"/>
        <v>0</v>
      </c>
      <c r="G370" s="95">
        <f t="shared" si="125"/>
        <v>0</v>
      </c>
    </row>
    <row r="371" spans="1:7" hidden="1" x14ac:dyDescent="0.25">
      <c r="A371" s="12" t="s">
        <v>30</v>
      </c>
      <c r="B371" s="12" t="s">
        <v>127</v>
      </c>
      <c r="C371" s="5" t="s">
        <v>116</v>
      </c>
      <c r="D371" s="17"/>
      <c r="E371" s="17"/>
      <c r="F371" s="17"/>
      <c r="G371" s="95" t="e">
        <f t="shared" si="125"/>
        <v>#DIV/0!</v>
      </c>
    </row>
    <row r="372" spans="1:7" hidden="1" x14ac:dyDescent="0.25">
      <c r="A372" s="12"/>
      <c r="B372" s="12" t="s">
        <v>194</v>
      </c>
      <c r="C372" s="53" t="s">
        <v>195</v>
      </c>
      <c r="D372" s="17">
        <v>0</v>
      </c>
      <c r="E372" s="17">
        <v>0</v>
      </c>
      <c r="F372" s="17">
        <v>0</v>
      </c>
      <c r="G372" s="95" t="e">
        <f t="shared" si="125"/>
        <v>#DIV/0!</v>
      </c>
    </row>
    <row r="373" spans="1:7" hidden="1" x14ac:dyDescent="0.25">
      <c r="A373" s="12"/>
      <c r="B373" s="33" t="s">
        <v>196</v>
      </c>
      <c r="C373" s="54" t="s">
        <v>197</v>
      </c>
      <c r="D373" s="29">
        <v>0</v>
      </c>
      <c r="E373" s="29">
        <v>0</v>
      </c>
      <c r="F373" s="29">
        <v>0</v>
      </c>
      <c r="G373" s="95" t="e">
        <f t="shared" si="125"/>
        <v>#DIV/0!</v>
      </c>
    </row>
    <row r="374" spans="1:7" x14ac:dyDescent="0.25">
      <c r="A374" s="15" t="s">
        <v>30</v>
      </c>
      <c r="B374" s="46" t="s">
        <v>36</v>
      </c>
      <c r="C374" s="47" t="s">
        <v>107</v>
      </c>
      <c r="D374" s="32"/>
      <c r="E374" s="32"/>
      <c r="F374" s="32"/>
      <c r="G374" s="95" t="e">
        <f t="shared" si="125"/>
        <v>#DIV/0!</v>
      </c>
    </row>
    <row r="375" spans="1:7" x14ac:dyDescent="0.25">
      <c r="A375" s="15"/>
      <c r="B375" s="15" t="s">
        <v>194</v>
      </c>
      <c r="C375" s="25" t="s">
        <v>195</v>
      </c>
      <c r="D375" s="32">
        <f t="shared" ref="D375:F376" si="138">D378+D381</f>
        <v>8189</v>
      </c>
      <c r="E375" s="32">
        <f t="shared" si="138"/>
        <v>8095</v>
      </c>
      <c r="F375" s="32">
        <f t="shared" si="138"/>
        <v>-94</v>
      </c>
      <c r="G375" s="95">
        <f t="shared" si="125"/>
        <v>-1.1478813041885456</v>
      </c>
    </row>
    <row r="376" spans="1:7" x14ac:dyDescent="0.25">
      <c r="A376" s="15"/>
      <c r="B376" s="15" t="s">
        <v>196</v>
      </c>
      <c r="C376" s="25" t="s">
        <v>197</v>
      </c>
      <c r="D376" s="32">
        <f t="shared" si="138"/>
        <v>8189</v>
      </c>
      <c r="E376" s="32">
        <f t="shared" si="138"/>
        <v>8095</v>
      </c>
      <c r="F376" s="32">
        <f t="shared" si="138"/>
        <v>-94</v>
      </c>
      <c r="G376" s="95">
        <f t="shared" si="125"/>
        <v>-1.1478813041885456</v>
      </c>
    </row>
    <row r="377" spans="1:7" x14ac:dyDescent="0.25">
      <c r="A377" s="18" t="s">
        <v>30</v>
      </c>
      <c r="B377" s="12" t="s">
        <v>128</v>
      </c>
      <c r="C377" s="53" t="s">
        <v>249</v>
      </c>
      <c r="D377" s="17"/>
      <c r="E377" s="17"/>
      <c r="F377" s="17"/>
      <c r="G377" s="95" t="e">
        <f t="shared" si="125"/>
        <v>#DIV/0!</v>
      </c>
    </row>
    <row r="378" spans="1:7" x14ac:dyDescent="0.25">
      <c r="A378" s="18"/>
      <c r="B378" s="12" t="s">
        <v>194</v>
      </c>
      <c r="C378" s="53" t="s">
        <v>195</v>
      </c>
      <c r="D378" s="17">
        <v>50</v>
      </c>
      <c r="E378" s="86">
        <f>'[1]BVC 2022 '!D378</f>
        <v>50</v>
      </c>
      <c r="F378" s="86">
        <f t="shared" ref="F378:F379" si="139">E378-D378</f>
        <v>0</v>
      </c>
      <c r="G378" s="95">
        <f t="shared" si="125"/>
        <v>0</v>
      </c>
    </row>
    <row r="379" spans="1:7" x14ac:dyDescent="0.25">
      <c r="A379" s="18"/>
      <c r="B379" s="33" t="s">
        <v>196</v>
      </c>
      <c r="C379" s="54" t="s">
        <v>197</v>
      </c>
      <c r="D379" s="29">
        <v>50</v>
      </c>
      <c r="E379" s="86">
        <f>'[1]BVC 2022 '!D379</f>
        <v>50</v>
      </c>
      <c r="F379" s="86">
        <f t="shared" si="139"/>
        <v>0</v>
      </c>
      <c r="G379" s="95">
        <f t="shared" si="125"/>
        <v>0</v>
      </c>
    </row>
    <row r="380" spans="1:7" x14ac:dyDescent="0.25">
      <c r="A380" s="18" t="s">
        <v>250</v>
      </c>
      <c r="B380" s="12" t="s">
        <v>160</v>
      </c>
      <c r="C380" s="53" t="s">
        <v>161</v>
      </c>
      <c r="D380" s="17"/>
      <c r="E380" s="17"/>
      <c r="F380" s="17"/>
      <c r="G380" s="95" t="e">
        <f t="shared" si="125"/>
        <v>#DIV/0!</v>
      </c>
    </row>
    <row r="381" spans="1:7" x14ac:dyDescent="0.25">
      <c r="A381" s="18"/>
      <c r="B381" s="12" t="s">
        <v>194</v>
      </c>
      <c r="C381" s="53" t="s">
        <v>195</v>
      </c>
      <c r="D381" s="17">
        <v>8139</v>
      </c>
      <c r="E381" s="86">
        <f>'[1]BVC 2022 '!D381</f>
        <v>8045</v>
      </c>
      <c r="F381" s="86">
        <f t="shared" ref="F381:F382" si="140">E381-D381</f>
        <v>-94</v>
      </c>
      <c r="G381" s="95">
        <f t="shared" si="125"/>
        <v>-1.1549330384568128</v>
      </c>
    </row>
    <row r="382" spans="1:7" x14ac:dyDescent="0.25">
      <c r="A382" s="18"/>
      <c r="B382" s="33" t="s">
        <v>196</v>
      </c>
      <c r="C382" s="54" t="s">
        <v>197</v>
      </c>
      <c r="D382" s="29">
        <v>8139</v>
      </c>
      <c r="E382" s="86">
        <f>'[1]BVC 2022 '!D382</f>
        <v>8045</v>
      </c>
      <c r="F382" s="86">
        <f t="shared" si="140"/>
        <v>-94</v>
      </c>
      <c r="G382" s="95">
        <f t="shared" si="125"/>
        <v>-1.1549330384568128</v>
      </c>
    </row>
    <row r="383" spans="1:7" x14ac:dyDescent="0.25">
      <c r="A383" s="15" t="s">
        <v>30</v>
      </c>
      <c r="B383" s="15" t="s">
        <v>129</v>
      </c>
      <c r="C383" s="2" t="s">
        <v>130</v>
      </c>
      <c r="D383" s="16"/>
      <c r="E383" s="16"/>
      <c r="F383" s="16"/>
      <c r="G383" s="95" t="e">
        <f t="shared" si="125"/>
        <v>#DIV/0!</v>
      </c>
    </row>
    <row r="384" spans="1:7" x14ac:dyDescent="0.25">
      <c r="A384" s="15"/>
      <c r="B384" s="15" t="s">
        <v>194</v>
      </c>
      <c r="C384" s="2" t="s">
        <v>195</v>
      </c>
      <c r="D384" s="16">
        <f>D387</f>
        <v>58507</v>
      </c>
      <c r="E384" s="16">
        <f t="shared" ref="E384:F384" si="141">E387</f>
        <v>119691</v>
      </c>
      <c r="F384" s="16">
        <f t="shared" si="141"/>
        <v>61184</v>
      </c>
      <c r="G384" s="95">
        <f t="shared" si="125"/>
        <v>104.57552087784367</v>
      </c>
    </row>
    <row r="385" spans="1:7" x14ac:dyDescent="0.25">
      <c r="A385" s="15"/>
      <c r="B385" s="15" t="s">
        <v>196</v>
      </c>
      <c r="C385" s="25" t="s">
        <v>197</v>
      </c>
      <c r="D385" s="16">
        <f t="shared" ref="D385:F385" si="142">D388</f>
        <v>49801</v>
      </c>
      <c r="E385" s="16">
        <f t="shared" si="142"/>
        <v>100897</v>
      </c>
      <c r="F385" s="16">
        <f t="shared" si="142"/>
        <v>51096</v>
      </c>
      <c r="G385" s="95">
        <f t="shared" si="125"/>
        <v>102.60034939057449</v>
      </c>
    </row>
    <row r="386" spans="1:7" x14ac:dyDescent="0.25">
      <c r="A386" s="15" t="s">
        <v>30</v>
      </c>
      <c r="B386" s="15" t="s">
        <v>131</v>
      </c>
      <c r="C386" s="2" t="s">
        <v>132</v>
      </c>
      <c r="D386" s="16"/>
      <c r="E386" s="16"/>
      <c r="F386" s="16"/>
      <c r="G386" s="95" t="e">
        <f t="shared" si="125"/>
        <v>#DIV/0!</v>
      </c>
    </row>
    <row r="387" spans="1:7" x14ac:dyDescent="0.25">
      <c r="A387" s="15"/>
      <c r="B387" s="15" t="s">
        <v>194</v>
      </c>
      <c r="C387" s="2" t="s">
        <v>195</v>
      </c>
      <c r="D387" s="16">
        <f t="shared" ref="D387:F388" si="143">D390+D405</f>
        <v>58507</v>
      </c>
      <c r="E387" s="16">
        <f t="shared" si="143"/>
        <v>119691</v>
      </c>
      <c r="F387" s="16">
        <f t="shared" si="143"/>
        <v>61184</v>
      </c>
      <c r="G387" s="95">
        <f t="shared" si="125"/>
        <v>104.57552087784367</v>
      </c>
    </row>
    <row r="388" spans="1:7" x14ac:dyDescent="0.25">
      <c r="A388" s="15"/>
      <c r="B388" s="15" t="s">
        <v>196</v>
      </c>
      <c r="C388" s="25" t="s">
        <v>197</v>
      </c>
      <c r="D388" s="16">
        <f t="shared" si="143"/>
        <v>49801</v>
      </c>
      <c r="E388" s="16">
        <f t="shared" si="143"/>
        <v>100897</v>
      </c>
      <c r="F388" s="16">
        <f t="shared" si="143"/>
        <v>51096</v>
      </c>
      <c r="G388" s="95">
        <f t="shared" si="125"/>
        <v>102.60034939057449</v>
      </c>
    </row>
    <row r="389" spans="1:7" x14ac:dyDescent="0.25">
      <c r="A389" s="15" t="s">
        <v>30</v>
      </c>
      <c r="B389" s="15" t="s">
        <v>133</v>
      </c>
      <c r="C389" s="2" t="s">
        <v>134</v>
      </c>
      <c r="D389" s="16"/>
      <c r="E389" s="16"/>
      <c r="F389" s="16"/>
      <c r="G389" s="95" t="e">
        <f t="shared" si="125"/>
        <v>#DIV/0!</v>
      </c>
    </row>
    <row r="390" spans="1:7" x14ac:dyDescent="0.25">
      <c r="A390" s="15"/>
      <c r="B390" s="15" t="s">
        <v>194</v>
      </c>
      <c r="C390" s="2" t="s">
        <v>195</v>
      </c>
      <c r="D390" s="16">
        <f t="shared" ref="D390:F391" si="144">D393+D396+D399+D402</f>
        <v>24739</v>
      </c>
      <c r="E390" s="16">
        <f t="shared" si="144"/>
        <v>82897</v>
      </c>
      <c r="F390" s="16">
        <f t="shared" si="144"/>
        <v>58158</v>
      </c>
      <c r="G390" s="95">
        <f t="shared" si="125"/>
        <v>235.08630098225476</v>
      </c>
    </row>
    <row r="391" spans="1:7" x14ac:dyDescent="0.25">
      <c r="A391" s="15"/>
      <c r="B391" s="15" t="s">
        <v>196</v>
      </c>
      <c r="C391" s="25" t="s">
        <v>197</v>
      </c>
      <c r="D391" s="16">
        <f t="shared" si="144"/>
        <v>28582</v>
      </c>
      <c r="E391" s="16">
        <f t="shared" si="144"/>
        <v>75899</v>
      </c>
      <c r="F391" s="16">
        <f t="shared" si="144"/>
        <v>47317</v>
      </c>
      <c r="G391" s="95">
        <f t="shared" si="125"/>
        <v>165.54824714855502</v>
      </c>
    </row>
    <row r="392" spans="1:7" x14ac:dyDescent="0.25">
      <c r="A392" s="18" t="s">
        <v>30</v>
      </c>
      <c r="B392" s="11" t="s">
        <v>135</v>
      </c>
      <c r="C392" s="5" t="s">
        <v>136</v>
      </c>
      <c r="D392" s="17"/>
      <c r="E392" s="17"/>
      <c r="F392" s="17"/>
      <c r="G392" s="95" t="e">
        <f t="shared" si="125"/>
        <v>#DIV/0!</v>
      </c>
    </row>
    <row r="393" spans="1:7" x14ac:dyDescent="0.25">
      <c r="A393" s="18"/>
      <c r="B393" s="33" t="s">
        <v>194</v>
      </c>
      <c r="C393" s="34" t="s">
        <v>195</v>
      </c>
      <c r="D393" s="88">
        <f>22202-8711-60</f>
        <v>13431</v>
      </c>
      <c r="E393" s="86">
        <f>'[1]BVC 2022 '!D393</f>
        <v>56636</v>
      </c>
      <c r="F393" s="86">
        <f t="shared" ref="F393:F394" si="145">E393-D393</f>
        <v>43205</v>
      </c>
      <c r="G393" s="95">
        <f t="shared" si="125"/>
        <v>321.68118531754897</v>
      </c>
    </row>
    <row r="394" spans="1:7" x14ac:dyDescent="0.25">
      <c r="A394" s="18"/>
      <c r="B394" s="33" t="s">
        <v>196</v>
      </c>
      <c r="C394" s="34" t="s">
        <v>197</v>
      </c>
      <c r="D394" s="88">
        <f>22202-4935</f>
        <v>17267</v>
      </c>
      <c r="E394" s="86">
        <f>'[1]BVC 2022 '!D394</f>
        <v>49638</v>
      </c>
      <c r="F394" s="86">
        <f t="shared" si="145"/>
        <v>32371</v>
      </c>
      <c r="G394" s="95">
        <f t="shared" ref="G394:G469" si="146">F394/D394*100</f>
        <v>187.47321480280303</v>
      </c>
    </row>
    <row r="395" spans="1:7" x14ac:dyDescent="0.25">
      <c r="A395" s="18" t="s">
        <v>30</v>
      </c>
      <c r="B395" s="11" t="s">
        <v>137</v>
      </c>
      <c r="C395" s="5" t="s">
        <v>138</v>
      </c>
      <c r="D395" s="88"/>
      <c r="E395" s="17"/>
      <c r="F395" s="17"/>
      <c r="G395" s="95" t="e">
        <f t="shared" si="146"/>
        <v>#DIV/0!</v>
      </c>
    </row>
    <row r="396" spans="1:7" x14ac:dyDescent="0.25">
      <c r="A396" s="18"/>
      <c r="B396" s="33" t="s">
        <v>194</v>
      </c>
      <c r="C396" s="34" t="s">
        <v>195</v>
      </c>
      <c r="D396" s="88">
        <f>7037+2325+442-2094+43</f>
        <v>7753</v>
      </c>
      <c r="E396" s="86">
        <f>'[1]BVC 2022 '!D396</f>
        <v>22490</v>
      </c>
      <c r="F396" s="86">
        <f t="shared" ref="F396:F397" si="147">E396-D396</f>
        <v>14737</v>
      </c>
      <c r="G396" s="95">
        <f t="shared" si="146"/>
        <v>190.08125886753515</v>
      </c>
    </row>
    <row r="397" spans="1:7" x14ac:dyDescent="0.25">
      <c r="A397" s="18"/>
      <c r="B397" s="33" t="s">
        <v>196</v>
      </c>
      <c r="C397" s="34" t="s">
        <v>197</v>
      </c>
      <c r="D397" s="88">
        <f>7037+2325+442-2094+50</f>
        <v>7760</v>
      </c>
      <c r="E397" s="86">
        <f>'[1]BVC 2022 '!D397</f>
        <v>22490</v>
      </c>
      <c r="F397" s="86">
        <f t="shared" si="147"/>
        <v>14730</v>
      </c>
      <c r="G397" s="95">
        <f t="shared" si="146"/>
        <v>189.81958762886597</v>
      </c>
    </row>
    <row r="398" spans="1:7" x14ac:dyDescent="0.25">
      <c r="A398" s="18" t="s">
        <v>30</v>
      </c>
      <c r="B398" s="11" t="s">
        <v>139</v>
      </c>
      <c r="C398" s="5" t="s">
        <v>140</v>
      </c>
      <c r="D398" s="88"/>
      <c r="E398" s="17"/>
      <c r="F398" s="17"/>
      <c r="G398" s="95" t="e">
        <f t="shared" si="146"/>
        <v>#DIV/0!</v>
      </c>
    </row>
    <row r="399" spans="1:7" x14ac:dyDescent="0.25">
      <c r="A399" s="18"/>
      <c r="B399" s="33" t="s">
        <v>194</v>
      </c>
      <c r="C399" s="34" t="s">
        <v>195</v>
      </c>
      <c r="D399" s="17">
        <f>89-41</f>
        <v>48</v>
      </c>
      <c r="E399" s="86">
        <f>'[1]BVC 2022 '!D399</f>
        <v>324</v>
      </c>
      <c r="F399" s="86">
        <f t="shared" ref="F399:F400" si="148">E399-D399</f>
        <v>276</v>
      </c>
      <c r="G399" s="95">
        <f t="shared" si="146"/>
        <v>575</v>
      </c>
    </row>
    <row r="400" spans="1:7" x14ac:dyDescent="0.25">
      <c r="A400" s="18"/>
      <c r="B400" s="33" t="s">
        <v>196</v>
      </c>
      <c r="C400" s="34" t="s">
        <v>197</v>
      </c>
      <c r="D400" s="17">
        <f>89-41</f>
        <v>48</v>
      </c>
      <c r="E400" s="86">
        <f>'[1]BVC 2022 '!D400</f>
        <v>324</v>
      </c>
      <c r="F400" s="86">
        <f t="shared" si="148"/>
        <v>276</v>
      </c>
      <c r="G400" s="95">
        <f t="shared" si="146"/>
        <v>575</v>
      </c>
    </row>
    <row r="401" spans="1:7" x14ac:dyDescent="0.25">
      <c r="A401" s="18" t="s">
        <v>30</v>
      </c>
      <c r="B401" s="11" t="s">
        <v>141</v>
      </c>
      <c r="C401" s="5" t="s">
        <v>320</v>
      </c>
      <c r="D401" s="17"/>
      <c r="E401" s="17"/>
      <c r="F401" s="17"/>
      <c r="G401" s="95" t="e">
        <f t="shared" si="146"/>
        <v>#DIV/0!</v>
      </c>
    </row>
    <row r="402" spans="1:7" x14ac:dyDescent="0.25">
      <c r="A402" s="18"/>
      <c r="B402" s="33" t="s">
        <v>194</v>
      </c>
      <c r="C402" s="34" t="s">
        <v>195</v>
      </c>
      <c r="D402" s="17">
        <f>4892-1385</f>
        <v>3507</v>
      </c>
      <c r="E402" s="86">
        <f>'[1]BVC 2022 '!D402</f>
        <v>3447</v>
      </c>
      <c r="F402" s="86">
        <f t="shared" ref="F402:F403" si="149">E402-D402</f>
        <v>-60</v>
      </c>
      <c r="G402" s="95">
        <f t="shared" si="146"/>
        <v>-1.7108639863130881</v>
      </c>
    </row>
    <row r="403" spans="1:7" x14ac:dyDescent="0.25">
      <c r="A403" s="18"/>
      <c r="B403" s="33" t="s">
        <v>196</v>
      </c>
      <c r="C403" s="34" t="s">
        <v>197</v>
      </c>
      <c r="D403" s="17">
        <f>4892-1385</f>
        <v>3507</v>
      </c>
      <c r="E403" s="86">
        <f>'[1]BVC 2022 '!D403</f>
        <v>3447</v>
      </c>
      <c r="F403" s="86">
        <f t="shared" si="149"/>
        <v>-60</v>
      </c>
      <c r="G403" s="95">
        <f t="shared" si="146"/>
        <v>-1.7108639863130881</v>
      </c>
    </row>
    <row r="404" spans="1:7" x14ac:dyDescent="0.25">
      <c r="A404" s="15" t="s">
        <v>30</v>
      </c>
      <c r="B404" s="15" t="s">
        <v>142</v>
      </c>
      <c r="C404" s="6" t="s">
        <v>251</v>
      </c>
      <c r="D404" s="20"/>
      <c r="E404" s="20"/>
      <c r="F404" s="20"/>
      <c r="G404" s="95" t="e">
        <f t="shared" si="146"/>
        <v>#DIV/0!</v>
      </c>
    </row>
    <row r="405" spans="1:7" x14ac:dyDescent="0.25">
      <c r="A405" s="15"/>
      <c r="B405" s="15" t="s">
        <v>194</v>
      </c>
      <c r="C405" s="25" t="s">
        <v>195</v>
      </c>
      <c r="D405" s="20">
        <f>35693-1942+17</f>
        <v>33768</v>
      </c>
      <c r="E405" s="20">
        <f>'[1]BVC 2022 '!D405</f>
        <v>36794</v>
      </c>
      <c r="F405" s="20">
        <f t="shared" ref="F405:F406" si="150">E405-D405</f>
        <v>3026</v>
      </c>
      <c r="G405" s="95">
        <f t="shared" si="146"/>
        <v>8.9611466477138126</v>
      </c>
    </row>
    <row r="406" spans="1:7" x14ac:dyDescent="0.25">
      <c r="A406" s="15"/>
      <c r="B406" s="15" t="s">
        <v>196</v>
      </c>
      <c r="C406" s="25" t="s">
        <v>197</v>
      </c>
      <c r="D406" s="20">
        <f>35693-14424-50</f>
        <v>21219</v>
      </c>
      <c r="E406" s="20">
        <f>'[1]BVC 2022 '!D406</f>
        <v>24998</v>
      </c>
      <c r="F406" s="20">
        <f t="shared" si="150"/>
        <v>3779</v>
      </c>
      <c r="G406" s="95">
        <f t="shared" si="146"/>
        <v>17.80951034450257</v>
      </c>
    </row>
    <row r="407" spans="1:7" x14ac:dyDescent="0.25">
      <c r="A407" s="21"/>
      <c r="B407" s="21"/>
      <c r="C407" s="22" t="s">
        <v>143</v>
      </c>
      <c r="D407" s="23"/>
      <c r="E407" s="23"/>
      <c r="F407" s="23"/>
      <c r="G407" s="95" t="e">
        <f t="shared" si="146"/>
        <v>#DIV/0!</v>
      </c>
    </row>
    <row r="408" spans="1:7" x14ac:dyDescent="0.25">
      <c r="A408" s="21"/>
      <c r="B408" s="21" t="s">
        <v>194</v>
      </c>
      <c r="C408" s="22" t="s">
        <v>195</v>
      </c>
      <c r="D408" s="23">
        <f>D411+D489</f>
        <v>4235897</v>
      </c>
      <c r="E408" s="23">
        <f t="shared" ref="E408:F409" si="151">E411+E489</f>
        <v>4235897</v>
      </c>
      <c r="F408" s="23">
        <f t="shared" si="151"/>
        <v>0</v>
      </c>
      <c r="G408" s="95">
        <f t="shared" si="146"/>
        <v>0</v>
      </c>
    </row>
    <row r="409" spans="1:7" x14ac:dyDescent="0.25">
      <c r="A409" s="21"/>
      <c r="B409" s="21" t="s">
        <v>196</v>
      </c>
      <c r="C409" s="22" t="s">
        <v>197</v>
      </c>
      <c r="D409" s="23">
        <f>D412+D490</f>
        <v>720611</v>
      </c>
      <c r="E409" s="23">
        <f t="shared" si="151"/>
        <v>720611</v>
      </c>
      <c r="F409" s="23">
        <f t="shared" si="151"/>
        <v>0</v>
      </c>
      <c r="G409" s="95">
        <f t="shared" si="146"/>
        <v>0</v>
      </c>
    </row>
    <row r="410" spans="1:7" x14ac:dyDescent="0.25">
      <c r="A410" s="21" t="s">
        <v>30</v>
      </c>
      <c r="B410" s="21" t="s">
        <v>41</v>
      </c>
      <c r="C410" s="22" t="s">
        <v>202</v>
      </c>
      <c r="D410" s="23"/>
      <c r="E410" s="23"/>
      <c r="F410" s="23"/>
      <c r="G410" s="95" t="e">
        <f t="shared" si="146"/>
        <v>#DIV/0!</v>
      </c>
    </row>
    <row r="411" spans="1:7" x14ac:dyDescent="0.25">
      <c r="A411" s="21"/>
      <c r="B411" s="21" t="s">
        <v>194</v>
      </c>
      <c r="C411" s="22" t="s">
        <v>195</v>
      </c>
      <c r="D411" s="23">
        <f>D414+D471</f>
        <v>4234997</v>
      </c>
      <c r="E411" s="23">
        <f t="shared" ref="E411:F412" si="152">E414+E471</f>
        <v>4234997</v>
      </c>
      <c r="F411" s="23">
        <f t="shared" si="152"/>
        <v>0</v>
      </c>
      <c r="G411" s="95">
        <f t="shared" si="146"/>
        <v>0</v>
      </c>
    </row>
    <row r="412" spans="1:7" x14ac:dyDescent="0.25">
      <c r="A412" s="21"/>
      <c r="B412" s="21" t="s">
        <v>196</v>
      </c>
      <c r="C412" s="22" t="s">
        <v>197</v>
      </c>
      <c r="D412" s="23">
        <f>D415+D472</f>
        <v>719711</v>
      </c>
      <c r="E412" s="23">
        <f t="shared" si="152"/>
        <v>719711</v>
      </c>
      <c r="F412" s="23">
        <f t="shared" si="152"/>
        <v>0</v>
      </c>
      <c r="G412" s="95">
        <f t="shared" si="146"/>
        <v>0</v>
      </c>
    </row>
    <row r="413" spans="1:7" x14ac:dyDescent="0.25">
      <c r="A413" s="21" t="s">
        <v>30</v>
      </c>
      <c r="B413" s="21" t="s">
        <v>32</v>
      </c>
      <c r="C413" s="22" t="s">
        <v>33</v>
      </c>
      <c r="D413" s="23"/>
      <c r="E413" s="23"/>
      <c r="F413" s="23"/>
      <c r="G413" s="95" t="e">
        <f t="shared" si="146"/>
        <v>#DIV/0!</v>
      </c>
    </row>
    <row r="414" spans="1:7" x14ac:dyDescent="0.25">
      <c r="A414" s="21"/>
      <c r="B414" s="21" t="s">
        <v>194</v>
      </c>
      <c r="C414" s="22" t="s">
        <v>195</v>
      </c>
      <c r="D414" s="23">
        <f t="shared" ref="D414:F415" si="153">D417+D426+D453+D465</f>
        <v>3816073</v>
      </c>
      <c r="E414" s="23">
        <f t="shared" si="153"/>
        <v>3816073</v>
      </c>
      <c r="F414" s="23">
        <f t="shared" si="153"/>
        <v>0</v>
      </c>
      <c r="G414" s="95">
        <f t="shared" si="146"/>
        <v>0</v>
      </c>
    </row>
    <row r="415" spans="1:7" x14ac:dyDescent="0.25">
      <c r="A415" s="21"/>
      <c r="B415" s="21" t="s">
        <v>196</v>
      </c>
      <c r="C415" s="22" t="s">
        <v>197</v>
      </c>
      <c r="D415" s="23">
        <f t="shared" si="153"/>
        <v>597611</v>
      </c>
      <c r="E415" s="23">
        <f t="shared" si="153"/>
        <v>597611</v>
      </c>
      <c r="F415" s="23">
        <f t="shared" si="153"/>
        <v>0</v>
      </c>
      <c r="G415" s="95">
        <f t="shared" si="146"/>
        <v>0</v>
      </c>
    </row>
    <row r="416" spans="1:7" x14ac:dyDescent="0.25">
      <c r="A416" s="21" t="s">
        <v>30</v>
      </c>
      <c r="B416" s="21" t="s">
        <v>144</v>
      </c>
      <c r="C416" s="22" t="s">
        <v>198</v>
      </c>
      <c r="D416" s="23"/>
      <c r="E416" s="23"/>
      <c r="F416" s="23"/>
      <c r="G416" s="95" t="e">
        <f t="shared" si="146"/>
        <v>#DIV/0!</v>
      </c>
    </row>
    <row r="417" spans="1:7" x14ac:dyDescent="0.25">
      <c r="A417" s="21"/>
      <c r="B417" s="21" t="s">
        <v>194</v>
      </c>
      <c r="C417" s="22" t="s">
        <v>195</v>
      </c>
      <c r="D417" s="23">
        <f>D420</f>
        <v>225</v>
      </c>
      <c r="E417" s="23">
        <f t="shared" ref="E417:F417" si="154">E420</f>
        <v>225</v>
      </c>
      <c r="F417" s="23">
        <f t="shared" si="154"/>
        <v>0</v>
      </c>
      <c r="G417" s="95">
        <f t="shared" si="146"/>
        <v>0</v>
      </c>
    </row>
    <row r="418" spans="1:7" x14ac:dyDescent="0.25">
      <c r="A418" s="21"/>
      <c r="B418" s="21" t="s">
        <v>196</v>
      </c>
      <c r="C418" s="22" t="s">
        <v>197</v>
      </c>
      <c r="D418" s="23">
        <f t="shared" ref="D418:F418" si="155">D421</f>
        <v>225</v>
      </c>
      <c r="E418" s="23">
        <f t="shared" si="155"/>
        <v>225</v>
      </c>
      <c r="F418" s="23">
        <f t="shared" si="155"/>
        <v>0</v>
      </c>
      <c r="G418" s="95">
        <f t="shared" si="146"/>
        <v>0</v>
      </c>
    </row>
    <row r="419" spans="1:7" x14ac:dyDescent="0.25">
      <c r="A419" s="21" t="s">
        <v>30</v>
      </c>
      <c r="B419" s="21" t="s">
        <v>106</v>
      </c>
      <c r="C419" s="22" t="s">
        <v>107</v>
      </c>
      <c r="D419" s="23"/>
      <c r="E419" s="23"/>
      <c r="F419" s="23"/>
      <c r="G419" s="95" t="e">
        <f t="shared" si="146"/>
        <v>#DIV/0!</v>
      </c>
    </row>
    <row r="420" spans="1:7" x14ac:dyDescent="0.25">
      <c r="A420" s="21"/>
      <c r="B420" s="21" t="s">
        <v>194</v>
      </c>
      <c r="C420" s="22" t="s">
        <v>195</v>
      </c>
      <c r="D420" s="23">
        <f>D423</f>
        <v>225</v>
      </c>
      <c r="E420" s="23">
        <f t="shared" ref="E420:F420" si="156">E423</f>
        <v>225</v>
      </c>
      <c r="F420" s="23">
        <f t="shared" si="156"/>
        <v>0</v>
      </c>
      <c r="G420" s="95">
        <f t="shared" si="146"/>
        <v>0</v>
      </c>
    </row>
    <row r="421" spans="1:7" x14ac:dyDescent="0.25">
      <c r="A421" s="21"/>
      <c r="B421" s="21" t="s">
        <v>196</v>
      </c>
      <c r="C421" s="22" t="s">
        <v>197</v>
      </c>
      <c r="D421" s="23">
        <f t="shared" ref="D421:F421" si="157">D424</f>
        <v>225</v>
      </c>
      <c r="E421" s="23">
        <f t="shared" si="157"/>
        <v>225</v>
      </c>
      <c r="F421" s="23">
        <f t="shared" si="157"/>
        <v>0</v>
      </c>
      <c r="G421" s="95">
        <f t="shared" si="146"/>
        <v>0</v>
      </c>
    </row>
    <row r="422" spans="1:7" x14ac:dyDescent="0.25">
      <c r="A422" s="18" t="s">
        <v>30</v>
      </c>
      <c r="B422" s="18" t="s">
        <v>114</v>
      </c>
      <c r="C422" s="5" t="s">
        <v>186</v>
      </c>
      <c r="D422" s="17"/>
      <c r="E422" s="17"/>
      <c r="F422" s="17"/>
      <c r="G422" s="95" t="e">
        <f t="shared" si="146"/>
        <v>#DIV/0!</v>
      </c>
    </row>
    <row r="423" spans="1:7" x14ac:dyDescent="0.25">
      <c r="A423" s="18"/>
      <c r="B423" s="33" t="s">
        <v>194</v>
      </c>
      <c r="C423" s="34" t="s">
        <v>195</v>
      </c>
      <c r="D423" s="88">
        <v>225</v>
      </c>
      <c r="E423" s="86">
        <f>'[1]BVC 2022 '!D423</f>
        <v>225</v>
      </c>
      <c r="F423" s="86">
        <f t="shared" ref="F423:F424" si="158">E423-D423</f>
        <v>0</v>
      </c>
      <c r="G423" s="95">
        <f t="shared" si="146"/>
        <v>0</v>
      </c>
    </row>
    <row r="424" spans="1:7" x14ac:dyDescent="0.25">
      <c r="A424" s="18"/>
      <c r="B424" s="33" t="s">
        <v>196</v>
      </c>
      <c r="C424" s="34" t="s">
        <v>197</v>
      </c>
      <c r="D424" s="88">
        <v>225</v>
      </c>
      <c r="E424" s="86">
        <f>'[1]BVC 2022 '!D424</f>
        <v>225</v>
      </c>
      <c r="F424" s="86">
        <f t="shared" si="158"/>
        <v>0</v>
      </c>
      <c r="G424" s="95">
        <f t="shared" si="146"/>
        <v>0</v>
      </c>
    </row>
    <row r="425" spans="1:7" ht="38.25" x14ac:dyDescent="0.25">
      <c r="A425" s="21" t="s">
        <v>30</v>
      </c>
      <c r="B425" s="21" t="s">
        <v>35</v>
      </c>
      <c r="C425" s="22" t="s">
        <v>252</v>
      </c>
      <c r="D425" s="23"/>
      <c r="E425" s="23"/>
      <c r="F425" s="23"/>
      <c r="G425" s="95" t="e">
        <f t="shared" si="146"/>
        <v>#DIV/0!</v>
      </c>
    </row>
    <row r="426" spans="1:7" x14ac:dyDescent="0.25">
      <c r="A426" s="21"/>
      <c r="B426" s="21" t="s">
        <v>194</v>
      </c>
      <c r="C426" s="22" t="s">
        <v>195</v>
      </c>
      <c r="D426" s="23">
        <f>D429+D441</f>
        <v>3404608</v>
      </c>
      <c r="E426" s="23">
        <f t="shared" ref="E426:F427" si="159">E429+E441</f>
        <v>3404608</v>
      </c>
      <c r="F426" s="23">
        <f t="shared" si="159"/>
        <v>0</v>
      </c>
      <c r="G426" s="95">
        <f t="shared" si="146"/>
        <v>0</v>
      </c>
    </row>
    <row r="427" spans="1:7" x14ac:dyDescent="0.25">
      <c r="A427" s="21"/>
      <c r="B427" s="21" t="s">
        <v>196</v>
      </c>
      <c r="C427" s="22" t="s">
        <v>197</v>
      </c>
      <c r="D427" s="23">
        <f>D430+D442</f>
        <v>529313</v>
      </c>
      <c r="E427" s="23">
        <f t="shared" si="159"/>
        <v>529313</v>
      </c>
      <c r="F427" s="23">
        <f t="shared" si="159"/>
        <v>0</v>
      </c>
      <c r="G427" s="95">
        <f t="shared" si="146"/>
        <v>0</v>
      </c>
    </row>
    <row r="428" spans="1:7" x14ac:dyDescent="0.25">
      <c r="A428" s="21" t="s">
        <v>30</v>
      </c>
      <c r="B428" s="21" t="s">
        <v>117</v>
      </c>
      <c r="C428" s="22" t="s">
        <v>247</v>
      </c>
      <c r="D428" s="23"/>
      <c r="E428" s="23"/>
      <c r="F428" s="23"/>
      <c r="G428" s="95" t="e">
        <f t="shared" si="146"/>
        <v>#DIV/0!</v>
      </c>
    </row>
    <row r="429" spans="1:7" x14ac:dyDescent="0.25">
      <c r="A429" s="21"/>
      <c r="B429" s="21" t="s">
        <v>194</v>
      </c>
      <c r="C429" s="22" t="s">
        <v>195</v>
      </c>
      <c r="D429" s="23">
        <f t="shared" ref="D429:F430" si="160">D432+D435+D438</f>
        <v>2965</v>
      </c>
      <c r="E429" s="23">
        <f t="shared" si="160"/>
        <v>3476</v>
      </c>
      <c r="F429" s="23">
        <f t="shared" si="160"/>
        <v>511</v>
      </c>
      <c r="G429" s="95">
        <f t="shared" si="146"/>
        <v>17.234401349072513</v>
      </c>
    </row>
    <row r="430" spans="1:7" x14ac:dyDescent="0.25">
      <c r="A430" s="21"/>
      <c r="B430" s="21" t="s">
        <v>196</v>
      </c>
      <c r="C430" s="22" t="s">
        <v>197</v>
      </c>
      <c r="D430" s="23">
        <f t="shared" si="160"/>
        <v>7025</v>
      </c>
      <c r="E430" s="23">
        <f t="shared" si="160"/>
        <v>7025</v>
      </c>
      <c r="F430" s="23">
        <f t="shared" si="160"/>
        <v>0</v>
      </c>
      <c r="G430" s="95">
        <f t="shared" si="146"/>
        <v>0</v>
      </c>
    </row>
    <row r="431" spans="1:7" x14ac:dyDescent="0.25">
      <c r="A431" s="66" t="s">
        <v>30</v>
      </c>
      <c r="B431" s="66" t="s">
        <v>118</v>
      </c>
      <c r="C431" s="5" t="s">
        <v>245</v>
      </c>
      <c r="D431" s="17"/>
      <c r="E431" s="17"/>
      <c r="F431" s="17"/>
      <c r="G431" s="95" t="e">
        <f t="shared" si="146"/>
        <v>#DIV/0!</v>
      </c>
    </row>
    <row r="432" spans="1:7" x14ac:dyDescent="0.25">
      <c r="A432" s="66"/>
      <c r="B432" s="33" t="s">
        <v>194</v>
      </c>
      <c r="C432" s="34" t="s">
        <v>195</v>
      </c>
      <c r="D432" s="88">
        <f>389+56</f>
        <v>445</v>
      </c>
      <c r="E432" s="86">
        <f>'[1]BVC 2022 '!D432</f>
        <v>522</v>
      </c>
      <c r="F432" s="86">
        <f t="shared" ref="F432:F433" si="161">E432-D432</f>
        <v>77</v>
      </c>
      <c r="G432" s="95">
        <f t="shared" si="146"/>
        <v>17.303370786516854</v>
      </c>
    </row>
    <row r="433" spans="1:7" x14ac:dyDescent="0.25">
      <c r="A433" s="66"/>
      <c r="B433" s="33" t="s">
        <v>196</v>
      </c>
      <c r="C433" s="34" t="s">
        <v>197</v>
      </c>
      <c r="D433" s="86">
        <f>1345-292</f>
        <v>1053</v>
      </c>
      <c r="E433" s="86">
        <f>'[1]BVC 2022 '!D433</f>
        <v>1053</v>
      </c>
      <c r="F433" s="86">
        <f t="shared" si="161"/>
        <v>0</v>
      </c>
      <c r="G433" s="95">
        <f t="shared" si="146"/>
        <v>0</v>
      </c>
    </row>
    <row r="434" spans="1:7" x14ac:dyDescent="0.25">
      <c r="A434" s="12" t="s">
        <v>30</v>
      </c>
      <c r="B434" s="12" t="s">
        <v>119</v>
      </c>
      <c r="C434" s="69" t="s">
        <v>248</v>
      </c>
      <c r="D434" s="119"/>
      <c r="E434" s="119"/>
      <c r="F434" s="119"/>
      <c r="G434" s="95" t="e">
        <f t="shared" si="146"/>
        <v>#DIV/0!</v>
      </c>
    </row>
    <row r="435" spans="1:7" x14ac:dyDescent="0.25">
      <c r="A435" s="12"/>
      <c r="B435" s="33" t="s">
        <v>194</v>
      </c>
      <c r="C435" s="34" t="s">
        <v>195</v>
      </c>
      <c r="D435" s="88">
        <f>2201+319</f>
        <v>2520</v>
      </c>
      <c r="E435" s="86">
        <f>'[1]BVC 2022 '!D435</f>
        <v>2954</v>
      </c>
      <c r="F435" s="86">
        <f t="shared" ref="F435:F436" si="162">E435-D435</f>
        <v>434</v>
      </c>
      <c r="G435" s="95">
        <f t="shared" si="146"/>
        <v>17.222222222222221</v>
      </c>
    </row>
    <row r="436" spans="1:7" x14ac:dyDescent="0.25">
      <c r="A436" s="12"/>
      <c r="B436" s="33" t="s">
        <v>196</v>
      </c>
      <c r="C436" s="34" t="s">
        <v>197</v>
      </c>
      <c r="D436" s="86">
        <f>7623-1651</f>
        <v>5972</v>
      </c>
      <c r="E436" s="86">
        <f>'[1]BVC 2022 '!D436</f>
        <v>5972</v>
      </c>
      <c r="F436" s="86">
        <f t="shared" si="162"/>
        <v>0</v>
      </c>
      <c r="G436" s="95">
        <f t="shared" si="146"/>
        <v>0</v>
      </c>
    </row>
    <row r="437" spans="1:7" hidden="1" x14ac:dyDescent="0.25">
      <c r="A437" s="12" t="s">
        <v>30</v>
      </c>
      <c r="B437" s="12" t="s">
        <v>120</v>
      </c>
      <c r="C437" s="61" t="s">
        <v>116</v>
      </c>
      <c r="D437" s="70"/>
      <c r="E437" s="70"/>
      <c r="F437" s="70"/>
      <c r="G437" s="95" t="e">
        <f t="shared" si="146"/>
        <v>#DIV/0!</v>
      </c>
    </row>
    <row r="438" spans="1:7" hidden="1" x14ac:dyDescent="0.25">
      <c r="A438" s="12"/>
      <c r="B438" s="33" t="s">
        <v>194</v>
      </c>
      <c r="C438" s="53" t="s">
        <v>195</v>
      </c>
      <c r="D438" s="17">
        <v>0</v>
      </c>
      <c r="E438" s="17">
        <v>0</v>
      </c>
      <c r="F438" s="17">
        <v>0</v>
      </c>
      <c r="G438" s="95" t="e">
        <f t="shared" si="146"/>
        <v>#DIV/0!</v>
      </c>
    </row>
    <row r="439" spans="1:7" hidden="1" x14ac:dyDescent="0.25">
      <c r="A439" s="12"/>
      <c r="B439" s="33" t="s">
        <v>196</v>
      </c>
      <c r="C439" s="54" t="s">
        <v>197</v>
      </c>
      <c r="D439" s="29">
        <v>0</v>
      </c>
      <c r="E439" s="29">
        <v>0</v>
      </c>
      <c r="F439" s="29">
        <v>0</v>
      </c>
      <c r="G439" s="95" t="e">
        <f t="shared" si="146"/>
        <v>#DIV/0!</v>
      </c>
    </row>
    <row r="440" spans="1:7" x14ac:dyDescent="0.25">
      <c r="A440" s="21" t="s">
        <v>30</v>
      </c>
      <c r="B440" s="21" t="s">
        <v>145</v>
      </c>
      <c r="C440" s="22" t="s">
        <v>307</v>
      </c>
      <c r="D440" s="23"/>
      <c r="E440" s="23"/>
      <c r="F440" s="23"/>
      <c r="G440" s="95" t="e">
        <f t="shared" si="146"/>
        <v>#DIV/0!</v>
      </c>
    </row>
    <row r="441" spans="1:7" x14ac:dyDescent="0.25">
      <c r="A441" s="21"/>
      <c r="B441" s="21" t="s">
        <v>194</v>
      </c>
      <c r="C441" s="22" t="s">
        <v>195</v>
      </c>
      <c r="D441" s="23">
        <f t="shared" ref="D441:F442" si="163">D444+D447+D450</f>
        <v>3401643</v>
      </c>
      <c r="E441" s="23">
        <f t="shared" si="163"/>
        <v>3401132</v>
      </c>
      <c r="F441" s="23">
        <f t="shared" si="163"/>
        <v>-511</v>
      </c>
      <c r="G441" s="95">
        <f t="shared" si="146"/>
        <v>-1.5022152530409571E-2</v>
      </c>
    </row>
    <row r="442" spans="1:7" x14ac:dyDescent="0.25">
      <c r="A442" s="21"/>
      <c r="B442" s="21" t="s">
        <v>196</v>
      </c>
      <c r="C442" s="22" t="s">
        <v>197</v>
      </c>
      <c r="D442" s="23">
        <f t="shared" si="163"/>
        <v>522288</v>
      </c>
      <c r="E442" s="23">
        <f t="shared" si="163"/>
        <v>522288</v>
      </c>
      <c r="F442" s="23">
        <f t="shared" si="163"/>
        <v>0</v>
      </c>
      <c r="G442" s="95">
        <f t="shared" si="146"/>
        <v>0</v>
      </c>
    </row>
    <row r="443" spans="1:7" x14ac:dyDescent="0.25">
      <c r="A443" s="66" t="s">
        <v>30</v>
      </c>
      <c r="B443" s="66" t="s">
        <v>146</v>
      </c>
      <c r="C443" s="5" t="s">
        <v>245</v>
      </c>
      <c r="D443" s="17"/>
      <c r="E443" s="17"/>
      <c r="F443" s="17"/>
      <c r="G443" s="95" t="e">
        <f t="shared" si="146"/>
        <v>#DIV/0!</v>
      </c>
    </row>
    <row r="444" spans="1:7" x14ac:dyDescent="0.25">
      <c r="A444" s="66"/>
      <c r="B444" s="33" t="s">
        <v>194</v>
      </c>
      <c r="C444" s="34" t="s">
        <v>195</v>
      </c>
      <c r="D444" s="88">
        <f>444173-3483</f>
        <v>440690</v>
      </c>
      <c r="E444" s="86">
        <f>'[1]BVC 2022 '!D444</f>
        <v>440613</v>
      </c>
      <c r="F444" s="86">
        <f t="shared" ref="F444:F445" si="164">E444-D444</f>
        <v>-77</v>
      </c>
      <c r="G444" s="95">
        <f t="shared" si="146"/>
        <v>-1.7472599786698132E-2</v>
      </c>
    </row>
    <row r="445" spans="1:7" x14ac:dyDescent="0.25">
      <c r="A445" s="66"/>
      <c r="B445" s="33" t="s">
        <v>196</v>
      </c>
      <c r="C445" s="34" t="s">
        <v>197</v>
      </c>
      <c r="D445" s="86">
        <f>109745-5084-38251</f>
        <v>66410</v>
      </c>
      <c r="E445" s="86">
        <f>'[1]BVC 2022 '!D445</f>
        <v>66410</v>
      </c>
      <c r="F445" s="86">
        <f t="shared" si="164"/>
        <v>0</v>
      </c>
      <c r="G445" s="95">
        <f t="shared" si="146"/>
        <v>0</v>
      </c>
    </row>
    <row r="446" spans="1:7" x14ac:dyDescent="0.25">
      <c r="A446" s="12" t="s">
        <v>30</v>
      </c>
      <c r="B446" s="12" t="s">
        <v>147</v>
      </c>
      <c r="C446" s="69" t="s">
        <v>248</v>
      </c>
      <c r="D446" s="119"/>
      <c r="E446" s="119"/>
      <c r="F446" s="119"/>
      <c r="G446" s="95" t="e">
        <f t="shared" si="146"/>
        <v>#DIV/0!</v>
      </c>
    </row>
    <row r="447" spans="1:7" x14ac:dyDescent="0.25">
      <c r="A447" s="12"/>
      <c r="B447" s="33" t="s">
        <v>194</v>
      </c>
      <c r="C447" s="34" t="s">
        <v>195</v>
      </c>
      <c r="D447" s="88">
        <f>2515398-19732</f>
        <v>2495666</v>
      </c>
      <c r="E447" s="86">
        <f>'[1]BVC 2022 '!D447</f>
        <v>2495232</v>
      </c>
      <c r="F447" s="86">
        <f t="shared" ref="F447:F448" si="165">E447-D447</f>
        <v>-434</v>
      </c>
      <c r="G447" s="95">
        <f t="shared" si="146"/>
        <v>-1.7390147559809686E-2</v>
      </c>
    </row>
    <row r="448" spans="1:7" x14ac:dyDescent="0.25">
      <c r="A448" s="12"/>
      <c r="B448" s="33" t="s">
        <v>196</v>
      </c>
      <c r="C448" s="34" t="s">
        <v>197</v>
      </c>
      <c r="D448" s="86">
        <f>737625-28530-332761</f>
        <v>376334</v>
      </c>
      <c r="E448" s="86">
        <f>'[1]BVC 2022 '!D448</f>
        <v>376334</v>
      </c>
      <c r="F448" s="86">
        <f t="shared" si="165"/>
        <v>0</v>
      </c>
      <c r="G448" s="95">
        <f t="shared" si="146"/>
        <v>0</v>
      </c>
    </row>
    <row r="449" spans="1:7" x14ac:dyDescent="0.25">
      <c r="A449" s="12" t="s">
        <v>30</v>
      </c>
      <c r="B449" s="12" t="s">
        <v>256</v>
      </c>
      <c r="C449" s="61" t="s">
        <v>116</v>
      </c>
      <c r="D449" s="119"/>
      <c r="E449" s="119"/>
      <c r="F449" s="119"/>
      <c r="G449" s="95" t="e">
        <f t="shared" si="146"/>
        <v>#DIV/0!</v>
      </c>
    </row>
    <row r="450" spans="1:7" x14ac:dyDescent="0.25">
      <c r="A450" s="12"/>
      <c r="B450" s="33" t="s">
        <v>194</v>
      </c>
      <c r="C450" s="53" t="s">
        <v>195</v>
      </c>
      <c r="D450" s="88">
        <v>465287</v>
      </c>
      <c r="E450" s="86">
        <f>'[1]BVC 2022 '!D450</f>
        <v>465287</v>
      </c>
      <c r="F450" s="86">
        <f t="shared" ref="F450:F451" si="166">E450-D450</f>
        <v>0</v>
      </c>
      <c r="G450" s="95">
        <f t="shared" si="146"/>
        <v>0</v>
      </c>
    </row>
    <row r="451" spans="1:7" x14ac:dyDescent="0.25">
      <c r="A451" s="12"/>
      <c r="B451" s="33" t="s">
        <v>196</v>
      </c>
      <c r="C451" s="54" t="s">
        <v>197</v>
      </c>
      <c r="D451" s="88">
        <f>108532-28988</f>
        <v>79544</v>
      </c>
      <c r="E451" s="86">
        <f>'[1]BVC 2022 '!D451</f>
        <v>79544</v>
      </c>
      <c r="F451" s="86">
        <f t="shared" si="166"/>
        <v>0</v>
      </c>
      <c r="G451" s="95">
        <f t="shared" si="146"/>
        <v>0</v>
      </c>
    </row>
    <row r="452" spans="1:7" ht="25.5" x14ac:dyDescent="0.25">
      <c r="A452" s="21" t="s">
        <v>30</v>
      </c>
      <c r="B452" s="21">
        <v>61</v>
      </c>
      <c r="C452" s="22" t="s">
        <v>334</v>
      </c>
      <c r="D452" s="23"/>
      <c r="E452" s="23"/>
      <c r="F452" s="23"/>
      <c r="G452" s="95" t="e">
        <f t="shared" si="146"/>
        <v>#DIV/0!</v>
      </c>
    </row>
    <row r="453" spans="1:7" x14ac:dyDescent="0.25">
      <c r="A453" s="21"/>
      <c r="B453" s="21" t="s">
        <v>194</v>
      </c>
      <c r="C453" s="22" t="s">
        <v>195</v>
      </c>
      <c r="D453" s="23">
        <f>D456+D459+D462</f>
        <v>355334</v>
      </c>
      <c r="E453" s="23">
        <f t="shared" ref="E453:F454" si="167">E456+E459+E462</f>
        <v>355334</v>
      </c>
      <c r="F453" s="23">
        <f t="shared" si="167"/>
        <v>0</v>
      </c>
      <c r="G453" s="95">
        <f t="shared" si="146"/>
        <v>0</v>
      </c>
    </row>
    <row r="454" spans="1:7" x14ac:dyDescent="0.25">
      <c r="A454" s="21"/>
      <c r="B454" s="21" t="s">
        <v>196</v>
      </c>
      <c r="C454" s="22" t="s">
        <v>197</v>
      </c>
      <c r="D454" s="23">
        <f>D457+D460+D463</f>
        <v>29573</v>
      </c>
      <c r="E454" s="23">
        <f t="shared" si="167"/>
        <v>29573</v>
      </c>
      <c r="F454" s="23">
        <f t="shared" si="167"/>
        <v>0</v>
      </c>
      <c r="G454" s="95">
        <f t="shared" si="146"/>
        <v>0</v>
      </c>
    </row>
    <row r="455" spans="1:7" x14ac:dyDescent="0.25">
      <c r="A455" s="33" t="s">
        <v>30</v>
      </c>
      <c r="B455" s="124" t="s">
        <v>335</v>
      </c>
      <c r="C455" s="125" t="s">
        <v>328</v>
      </c>
      <c r="D455" s="126"/>
      <c r="E455" s="126"/>
      <c r="F455" s="126"/>
      <c r="G455" s="95" t="e">
        <f t="shared" si="146"/>
        <v>#DIV/0!</v>
      </c>
    </row>
    <row r="456" spans="1:7" x14ac:dyDescent="0.25">
      <c r="A456" s="33"/>
      <c r="B456" s="33" t="s">
        <v>194</v>
      </c>
      <c r="C456" s="34" t="s">
        <v>195</v>
      </c>
      <c r="D456" s="126">
        <f>0+300309</f>
        <v>300309</v>
      </c>
      <c r="E456" s="86">
        <f>'[1]BVC 2022 '!D456</f>
        <v>300309</v>
      </c>
      <c r="F456" s="86">
        <f t="shared" ref="F456:F457" si="168">E456-D456</f>
        <v>0</v>
      </c>
      <c r="G456" s="95">
        <f t="shared" si="146"/>
        <v>0</v>
      </c>
    </row>
    <row r="457" spans="1:7" x14ac:dyDescent="0.25">
      <c r="A457" s="33"/>
      <c r="B457" s="33" t="s">
        <v>196</v>
      </c>
      <c r="C457" s="34" t="s">
        <v>197</v>
      </c>
      <c r="D457" s="126">
        <f>0+25036</f>
        <v>25036</v>
      </c>
      <c r="E457" s="86">
        <f>'[1]BVC 2022 '!D457</f>
        <v>25036</v>
      </c>
      <c r="F457" s="86">
        <f t="shared" si="168"/>
        <v>0</v>
      </c>
      <c r="G457" s="95">
        <f t="shared" si="146"/>
        <v>0</v>
      </c>
    </row>
    <row r="458" spans="1:7" x14ac:dyDescent="0.25">
      <c r="A458" s="33" t="s">
        <v>30</v>
      </c>
      <c r="B458" s="124" t="s">
        <v>336</v>
      </c>
      <c r="C458" s="125" t="s">
        <v>330</v>
      </c>
      <c r="D458" s="126"/>
      <c r="E458" s="126"/>
      <c r="F458" s="126"/>
      <c r="G458" s="95" t="e">
        <f t="shared" si="146"/>
        <v>#DIV/0!</v>
      </c>
    </row>
    <row r="459" spans="1:7" x14ac:dyDescent="0.25">
      <c r="A459" s="33"/>
      <c r="B459" s="33" t="s">
        <v>194</v>
      </c>
      <c r="C459" s="34" t="s">
        <v>195</v>
      </c>
      <c r="D459" s="126">
        <v>0</v>
      </c>
      <c r="E459" s="86">
        <f>'[1]BVC 2022 '!D459</f>
        <v>0</v>
      </c>
      <c r="F459" s="86">
        <f t="shared" ref="F459:F460" si="169">E459-D459</f>
        <v>0</v>
      </c>
      <c r="G459" s="95" t="e">
        <f t="shared" si="146"/>
        <v>#DIV/0!</v>
      </c>
    </row>
    <row r="460" spans="1:7" x14ac:dyDescent="0.25">
      <c r="A460" s="33"/>
      <c r="B460" s="33" t="s">
        <v>196</v>
      </c>
      <c r="C460" s="34" t="s">
        <v>197</v>
      </c>
      <c r="D460" s="126">
        <v>0</v>
      </c>
      <c r="E460" s="86">
        <f>'[1]BVC 2022 '!D460</f>
        <v>0</v>
      </c>
      <c r="F460" s="86">
        <f t="shared" si="169"/>
        <v>0</v>
      </c>
      <c r="G460" s="95" t="e">
        <f t="shared" si="146"/>
        <v>#DIV/0!</v>
      </c>
    </row>
    <row r="461" spans="1:7" x14ac:dyDescent="0.25">
      <c r="A461" s="33" t="s">
        <v>30</v>
      </c>
      <c r="B461" s="124" t="s">
        <v>337</v>
      </c>
      <c r="C461" s="125" t="s">
        <v>332</v>
      </c>
      <c r="D461" s="126"/>
      <c r="E461" s="126"/>
      <c r="F461" s="126"/>
      <c r="G461" s="95" t="e">
        <f t="shared" si="146"/>
        <v>#DIV/0!</v>
      </c>
    </row>
    <row r="462" spans="1:7" x14ac:dyDescent="0.25">
      <c r="A462" s="33"/>
      <c r="B462" s="33" t="s">
        <v>194</v>
      </c>
      <c r="C462" s="34" t="s">
        <v>195</v>
      </c>
      <c r="D462" s="126">
        <f>0+55025</f>
        <v>55025</v>
      </c>
      <c r="E462" s="86">
        <f>'[1]BVC 2022 '!D462</f>
        <v>55025</v>
      </c>
      <c r="F462" s="86">
        <f t="shared" ref="F462:F463" si="170">E462-D462</f>
        <v>0</v>
      </c>
      <c r="G462" s="95">
        <f t="shared" si="146"/>
        <v>0</v>
      </c>
    </row>
    <row r="463" spans="1:7" x14ac:dyDescent="0.25">
      <c r="A463" s="33"/>
      <c r="B463" s="33" t="s">
        <v>196</v>
      </c>
      <c r="C463" s="34" t="s">
        <v>197</v>
      </c>
      <c r="D463" s="126">
        <f>0+4537</f>
        <v>4537</v>
      </c>
      <c r="E463" s="86">
        <f>'[1]BVC 2022 '!D463</f>
        <v>4537</v>
      </c>
      <c r="F463" s="86">
        <f t="shared" si="170"/>
        <v>0</v>
      </c>
      <c r="G463" s="95">
        <f t="shared" si="146"/>
        <v>0</v>
      </c>
    </row>
    <row r="464" spans="1:7" ht="25.5" x14ac:dyDescent="0.25">
      <c r="A464" s="35" t="s">
        <v>30</v>
      </c>
      <c r="B464" s="35" t="s">
        <v>148</v>
      </c>
      <c r="C464" s="22" t="s">
        <v>201</v>
      </c>
      <c r="D464" s="23"/>
      <c r="E464" s="23"/>
      <c r="F464" s="23"/>
      <c r="G464" s="95" t="e">
        <f t="shared" si="146"/>
        <v>#DIV/0!</v>
      </c>
    </row>
    <row r="465" spans="1:7" x14ac:dyDescent="0.25">
      <c r="A465" s="35"/>
      <c r="B465" s="21" t="s">
        <v>194</v>
      </c>
      <c r="C465" s="22" t="s">
        <v>195</v>
      </c>
      <c r="D465" s="23">
        <f>D468</f>
        <v>55906</v>
      </c>
      <c r="E465" s="23">
        <f t="shared" ref="E465:F465" si="171">E468</f>
        <v>55906</v>
      </c>
      <c r="F465" s="23">
        <f t="shared" si="171"/>
        <v>0</v>
      </c>
      <c r="G465" s="95">
        <f t="shared" si="146"/>
        <v>0</v>
      </c>
    </row>
    <row r="466" spans="1:7" x14ac:dyDescent="0.25">
      <c r="A466" s="35"/>
      <c r="B466" s="21" t="s">
        <v>196</v>
      </c>
      <c r="C466" s="22" t="s">
        <v>197</v>
      </c>
      <c r="D466" s="23">
        <f t="shared" ref="D466:F466" si="172">D469</f>
        <v>38500</v>
      </c>
      <c r="E466" s="23">
        <f t="shared" si="172"/>
        <v>38500</v>
      </c>
      <c r="F466" s="23">
        <f t="shared" si="172"/>
        <v>0</v>
      </c>
      <c r="G466" s="95">
        <f t="shared" si="146"/>
        <v>0</v>
      </c>
    </row>
    <row r="467" spans="1:7" ht="25.5" x14ac:dyDescent="0.25">
      <c r="A467" s="12" t="s">
        <v>30</v>
      </c>
      <c r="B467" s="12" t="s">
        <v>149</v>
      </c>
      <c r="C467" s="5" t="s">
        <v>255</v>
      </c>
      <c r="D467" s="17"/>
      <c r="E467" s="17"/>
      <c r="F467" s="17"/>
      <c r="G467" s="95" t="e">
        <f t="shared" si="146"/>
        <v>#DIV/0!</v>
      </c>
    </row>
    <row r="468" spans="1:7" x14ac:dyDescent="0.25">
      <c r="A468" s="12"/>
      <c r="B468" s="33" t="s">
        <v>194</v>
      </c>
      <c r="C468" s="34" t="s">
        <v>195</v>
      </c>
      <c r="D468" s="88">
        <f>38500+17406</f>
        <v>55906</v>
      </c>
      <c r="E468" s="86">
        <f>'[1]BVC 2022 '!D468</f>
        <v>55906</v>
      </c>
      <c r="F468" s="86">
        <f t="shared" ref="F468:F469" si="173">E468-D468</f>
        <v>0</v>
      </c>
      <c r="G468" s="95">
        <f t="shared" si="146"/>
        <v>0</v>
      </c>
    </row>
    <row r="469" spans="1:7" x14ac:dyDescent="0.25">
      <c r="A469" s="12"/>
      <c r="B469" s="33" t="s">
        <v>196</v>
      </c>
      <c r="C469" s="34" t="s">
        <v>197</v>
      </c>
      <c r="D469" s="88">
        <v>38500</v>
      </c>
      <c r="E469" s="86">
        <f>'[1]BVC 2022 '!D469</f>
        <v>38500</v>
      </c>
      <c r="F469" s="86">
        <f t="shared" si="173"/>
        <v>0</v>
      </c>
      <c r="G469" s="95">
        <f t="shared" si="146"/>
        <v>0</v>
      </c>
    </row>
    <row r="470" spans="1:7" x14ac:dyDescent="0.25">
      <c r="A470" s="21" t="s">
        <v>30</v>
      </c>
      <c r="B470" s="21" t="s">
        <v>129</v>
      </c>
      <c r="C470" s="22" t="s">
        <v>38</v>
      </c>
      <c r="D470" s="23"/>
      <c r="E470" s="23"/>
      <c r="F470" s="23"/>
      <c r="G470" s="95" t="e">
        <f t="shared" ref="G470:G533" si="174">F470/D470*100</f>
        <v>#DIV/0!</v>
      </c>
    </row>
    <row r="471" spans="1:7" x14ac:dyDescent="0.25">
      <c r="A471" s="21"/>
      <c r="B471" s="21" t="s">
        <v>194</v>
      </c>
      <c r="C471" s="22" t="s">
        <v>195</v>
      </c>
      <c r="D471" s="23">
        <f t="shared" ref="D471:F472" si="175">D474</f>
        <v>418924</v>
      </c>
      <c r="E471" s="23">
        <f t="shared" si="175"/>
        <v>418924</v>
      </c>
      <c r="F471" s="23">
        <f t="shared" si="175"/>
        <v>0</v>
      </c>
      <c r="G471" s="95">
        <f t="shared" si="174"/>
        <v>0</v>
      </c>
    </row>
    <row r="472" spans="1:7" x14ac:dyDescent="0.25">
      <c r="A472" s="21"/>
      <c r="B472" s="21" t="s">
        <v>196</v>
      </c>
      <c r="C472" s="22" t="s">
        <v>197</v>
      </c>
      <c r="D472" s="23">
        <f t="shared" si="175"/>
        <v>122100</v>
      </c>
      <c r="E472" s="23">
        <f t="shared" si="175"/>
        <v>122100</v>
      </c>
      <c r="F472" s="23">
        <f t="shared" si="175"/>
        <v>0</v>
      </c>
      <c r="G472" s="95">
        <f t="shared" si="174"/>
        <v>0</v>
      </c>
    </row>
    <row r="473" spans="1:7" x14ac:dyDescent="0.25">
      <c r="A473" s="21" t="s">
        <v>30</v>
      </c>
      <c r="B473" s="21" t="s">
        <v>131</v>
      </c>
      <c r="C473" s="22" t="s">
        <v>132</v>
      </c>
      <c r="D473" s="23"/>
      <c r="E473" s="23"/>
      <c r="F473" s="23"/>
      <c r="G473" s="95" t="e">
        <f t="shared" si="174"/>
        <v>#DIV/0!</v>
      </c>
    </row>
    <row r="474" spans="1:7" x14ac:dyDescent="0.25">
      <c r="A474" s="21"/>
      <c r="B474" s="21" t="s">
        <v>194</v>
      </c>
      <c r="C474" s="22" t="s">
        <v>195</v>
      </c>
      <c r="D474" s="23">
        <f t="shared" ref="D474:F475" si="176">D477+D486</f>
        <v>418924</v>
      </c>
      <c r="E474" s="23">
        <f t="shared" si="176"/>
        <v>418924</v>
      </c>
      <c r="F474" s="23">
        <f t="shared" si="176"/>
        <v>0</v>
      </c>
      <c r="G474" s="95">
        <f t="shared" si="174"/>
        <v>0</v>
      </c>
    </row>
    <row r="475" spans="1:7" x14ac:dyDescent="0.25">
      <c r="A475" s="21"/>
      <c r="B475" s="21" t="s">
        <v>196</v>
      </c>
      <c r="C475" s="22" t="s">
        <v>197</v>
      </c>
      <c r="D475" s="23">
        <f t="shared" si="176"/>
        <v>122100</v>
      </c>
      <c r="E475" s="23">
        <f t="shared" si="176"/>
        <v>122100</v>
      </c>
      <c r="F475" s="23">
        <f t="shared" si="176"/>
        <v>0</v>
      </c>
      <c r="G475" s="95">
        <f t="shared" si="174"/>
        <v>0</v>
      </c>
    </row>
    <row r="476" spans="1:7" x14ac:dyDescent="0.25">
      <c r="A476" s="21" t="s">
        <v>30</v>
      </c>
      <c r="B476" s="21" t="s">
        <v>133</v>
      </c>
      <c r="C476" s="22" t="s">
        <v>134</v>
      </c>
      <c r="D476" s="23"/>
      <c r="E476" s="23"/>
      <c r="F476" s="23"/>
      <c r="G476" s="95" t="e">
        <f t="shared" si="174"/>
        <v>#DIV/0!</v>
      </c>
    </row>
    <row r="477" spans="1:7" x14ac:dyDescent="0.25">
      <c r="A477" s="21"/>
      <c r="B477" s="21" t="s">
        <v>194</v>
      </c>
      <c r="C477" s="22" t="s">
        <v>195</v>
      </c>
      <c r="D477" s="23">
        <f t="shared" ref="D477:F478" si="177">D480+D483</f>
        <v>401403</v>
      </c>
      <c r="E477" s="23">
        <f t="shared" si="177"/>
        <v>401403</v>
      </c>
      <c r="F477" s="23">
        <f t="shared" si="177"/>
        <v>0</v>
      </c>
      <c r="G477" s="95">
        <f t="shared" si="174"/>
        <v>0</v>
      </c>
    </row>
    <row r="478" spans="1:7" x14ac:dyDescent="0.25">
      <c r="A478" s="21"/>
      <c r="B478" s="21" t="s">
        <v>196</v>
      </c>
      <c r="C478" s="22" t="s">
        <v>197</v>
      </c>
      <c r="D478" s="23">
        <f t="shared" si="177"/>
        <v>122100</v>
      </c>
      <c r="E478" s="23">
        <f t="shared" si="177"/>
        <v>122100</v>
      </c>
      <c r="F478" s="23">
        <f t="shared" si="177"/>
        <v>0</v>
      </c>
      <c r="G478" s="95">
        <f t="shared" si="174"/>
        <v>0</v>
      </c>
    </row>
    <row r="479" spans="1:7" x14ac:dyDescent="0.25">
      <c r="A479" s="18" t="s">
        <v>30</v>
      </c>
      <c r="B479" s="18" t="s">
        <v>135</v>
      </c>
      <c r="C479" s="5" t="s">
        <v>136</v>
      </c>
      <c r="D479" s="17"/>
      <c r="E479" s="17"/>
      <c r="F479" s="17"/>
      <c r="G479" s="95" t="e">
        <f t="shared" si="174"/>
        <v>#DIV/0!</v>
      </c>
    </row>
    <row r="480" spans="1:7" x14ac:dyDescent="0.25">
      <c r="A480" s="18"/>
      <c r="B480" s="33" t="s">
        <v>194</v>
      </c>
      <c r="C480" s="34" t="s">
        <v>195</v>
      </c>
      <c r="D480" s="88">
        <f>151443+249960</f>
        <v>401403</v>
      </c>
      <c r="E480" s="86">
        <f>'[1]BVC 2022 '!D480</f>
        <v>401403</v>
      </c>
      <c r="F480" s="86">
        <f t="shared" ref="F480:F481" si="178">E480-D480</f>
        <v>0</v>
      </c>
      <c r="G480" s="95">
        <f t="shared" si="174"/>
        <v>0</v>
      </c>
    </row>
    <row r="481" spans="1:7" x14ac:dyDescent="0.25">
      <c r="A481" s="18"/>
      <c r="B481" s="33" t="s">
        <v>196</v>
      </c>
      <c r="C481" s="34" t="s">
        <v>197</v>
      </c>
      <c r="D481" s="86">
        <f>151443-29343</f>
        <v>122100</v>
      </c>
      <c r="E481" s="86">
        <f>'[1]BVC 2022 '!D481</f>
        <v>122100</v>
      </c>
      <c r="F481" s="86">
        <f t="shared" si="178"/>
        <v>0</v>
      </c>
      <c r="G481" s="95">
        <f t="shared" si="174"/>
        <v>0</v>
      </c>
    </row>
    <row r="482" spans="1:7" x14ac:dyDescent="0.25">
      <c r="A482" s="18" t="s">
        <v>30</v>
      </c>
      <c r="B482" s="18" t="s">
        <v>141</v>
      </c>
      <c r="C482" s="5" t="s">
        <v>14</v>
      </c>
      <c r="D482" s="88"/>
      <c r="E482" s="88"/>
      <c r="F482" s="88"/>
      <c r="G482" s="95" t="e">
        <f t="shared" si="174"/>
        <v>#DIV/0!</v>
      </c>
    </row>
    <row r="483" spans="1:7" x14ac:dyDescent="0.25">
      <c r="A483" s="18"/>
      <c r="B483" s="33" t="s">
        <v>194</v>
      </c>
      <c r="C483" s="34" t="s">
        <v>195</v>
      </c>
      <c r="D483" s="86">
        <f>657-657</f>
        <v>0</v>
      </c>
      <c r="E483" s="86">
        <f>'[1]BVC 2022 '!D483</f>
        <v>0</v>
      </c>
      <c r="F483" s="86">
        <f t="shared" ref="F483:F484" si="179">E483-D483</f>
        <v>0</v>
      </c>
      <c r="G483" s="95" t="e">
        <f t="shared" si="174"/>
        <v>#DIV/0!</v>
      </c>
    </row>
    <row r="484" spans="1:7" x14ac:dyDescent="0.25">
      <c r="A484" s="18"/>
      <c r="B484" s="33" t="s">
        <v>196</v>
      </c>
      <c r="C484" s="34" t="s">
        <v>197</v>
      </c>
      <c r="D484" s="86">
        <f>657-657</f>
        <v>0</v>
      </c>
      <c r="E484" s="86">
        <f>'[1]BVC 2022 '!D484</f>
        <v>0</v>
      </c>
      <c r="F484" s="86">
        <f t="shared" si="179"/>
        <v>0</v>
      </c>
      <c r="G484" s="95" t="e">
        <f t="shared" si="174"/>
        <v>#DIV/0!</v>
      </c>
    </row>
    <row r="485" spans="1:7" x14ac:dyDescent="0.25">
      <c r="A485" s="18" t="s">
        <v>30</v>
      </c>
      <c r="B485" s="18" t="s">
        <v>142</v>
      </c>
      <c r="C485" s="5" t="s">
        <v>342</v>
      </c>
      <c r="D485" s="86"/>
      <c r="E485" s="86"/>
      <c r="F485" s="86"/>
      <c r="G485" s="95" t="e">
        <f t="shared" si="174"/>
        <v>#DIV/0!</v>
      </c>
    </row>
    <row r="486" spans="1:7" x14ac:dyDescent="0.25">
      <c r="A486" s="18"/>
      <c r="B486" s="33" t="s">
        <v>194</v>
      </c>
      <c r="C486" s="34" t="s">
        <v>195</v>
      </c>
      <c r="D486" s="86">
        <v>17521</v>
      </c>
      <c r="E486" s="86">
        <f>'[1]BVC 2022 '!D486</f>
        <v>17521</v>
      </c>
      <c r="F486" s="86">
        <f t="shared" ref="F486:F487" si="180">E486-D486</f>
        <v>0</v>
      </c>
      <c r="G486" s="95">
        <v>100</v>
      </c>
    </row>
    <row r="487" spans="1:7" x14ac:dyDescent="0.25">
      <c r="A487" s="18"/>
      <c r="B487" s="33" t="s">
        <v>196</v>
      </c>
      <c r="C487" s="34" t="s">
        <v>197</v>
      </c>
      <c r="D487" s="86">
        <v>0</v>
      </c>
      <c r="E487" s="86">
        <f>'[1]BVC 2022 '!D487</f>
        <v>0</v>
      </c>
      <c r="F487" s="86">
        <f t="shared" si="180"/>
        <v>0</v>
      </c>
      <c r="G487" s="95" t="e">
        <f t="shared" si="174"/>
        <v>#DIV/0!</v>
      </c>
    </row>
    <row r="488" spans="1:7" x14ac:dyDescent="0.25">
      <c r="A488" s="21" t="s">
        <v>150</v>
      </c>
      <c r="B488" s="21" t="s">
        <v>151</v>
      </c>
      <c r="C488" s="22" t="s">
        <v>253</v>
      </c>
      <c r="D488" s="23"/>
      <c r="E488" s="23"/>
      <c r="F488" s="23"/>
      <c r="G488" s="95" t="e">
        <f t="shared" si="174"/>
        <v>#DIV/0!</v>
      </c>
    </row>
    <row r="489" spans="1:7" x14ac:dyDescent="0.25">
      <c r="A489" s="21"/>
      <c r="B489" s="21" t="s">
        <v>194</v>
      </c>
      <c r="C489" s="22" t="s">
        <v>195</v>
      </c>
      <c r="D489" s="23">
        <f t="shared" ref="D489:F490" si="181">D492+D501</f>
        <v>900</v>
      </c>
      <c r="E489" s="23">
        <f t="shared" si="181"/>
        <v>900</v>
      </c>
      <c r="F489" s="23">
        <f t="shared" si="181"/>
        <v>0</v>
      </c>
      <c r="G489" s="95">
        <f t="shared" si="174"/>
        <v>0</v>
      </c>
    </row>
    <row r="490" spans="1:7" x14ac:dyDescent="0.25">
      <c r="A490" s="21"/>
      <c r="B490" s="21" t="s">
        <v>196</v>
      </c>
      <c r="C490" s="22" t="s">
        <v>197</v>
      </c>
      <c r="D490" s="23">
        <f t="shared" si="181"/>
        <v>900</v>
      </c>
      <c r="E490" s="23">
        <f t="shared" si="181"/>
        <v>900</v>
      </c>
      <c r="F490" s="23">
        <f t="shared" si="181"/>
        <v>0</v>
      </c>
      <c r="G490" s="95">
        <f t="shared" si="174"/>
        <v>0</v>
      </c>
    </row>
    <row r="491" spans="1:7" x14ac:dyDescent="0.25">
      <c r="A491" s="21" t="s">
        <v>150</v>
      </c>
      <c r="B491" s="21" t="s">
        <v>32</v>
      </c>
      <c r="C491" s="22" t="s">
        <v>33</v>
      </c>
      <c r="D491" s="23"/>
      <c r="E491" s="23"/>
      <c r="F491" s="23"/>
      <c r="G491" s="95" t="e">
        <f t="shared" si="174"/>
        <v>#DIV/0!</v>
      </c>
    </row>
    <row r="492" spans="1:7" x14ac:dyDescent="0.25">
      <c r="A492" s="21"/>
      <c r="B492" s="21" t="s">
        <v>194</v>
      </c>
      <c r="C492" s="22" t="s">
        <v>195</v>
      </c>
      <c r="D492" s="23">
        <f t="shared" ref="D492:F493" si="182">D495</f>
        <v>450</v>
      </c>
      <c r="E492" s="23">
        <f t="shared" si="182"/>
        <v>450</v>
      </c>
      <c r="F492" s="23">
        <f t="shared" si="182"/>
        <v>0</v>
      </c>
      <c r="G492" s="95">
        <f t="shared" si="174"/>
        <v>0</v>
      </c>
    </row>
    <row r="493" spans="1:7" x14ac:dyDescent="0.25">
      <c r="A493" s="21"/>
      <c r="B493" s="21" t="s">
        <v>196</v>
      </c>
      <c r="C493" s="22" t="s">
        <v>197</v>
      </c>
      <c r="D493" s="23">
        <f t="shared" si="182"/>
        <v>450</v>
      </c>
      <c r="E493" s="23">
        <f t="shared" si="182"/>
        <v>450</v>
      </c>
      <c r="F493" s="23">
        <f t="shared" si="182"/>
        <v>0</v>
      </c>
      <c r="G493" s="95">
        <f t="shared" si="174"/>
        <v>0</v>
      </c>
    </row>
    <row r="494" spans="1:7" x14ac:dyDescent="0.25">
      <c r="A494" s="21" t="s">
        <v>150</v>
      </c>
      <c r="B494" s="21" t="s">
        <v>144</v>
      </c>
      <c r="C494" s="22" t="s">
        <v>198</v>
      </c>
      <c r="D494" s="23"/>
      <c r="E494" s="23"/>
      <c r="F494" s="23"/>
      <c r="G494" s="95" t="e">
        <f t="shared" si="174"/>
        <v>#DIV/0!</v>
      </c>
    </row>
    <row r="495" spans="1:7" x14ac:dyDescent="0.25">
      <c r="A495" s="21"/>
      <c r="B495" s="21" t="s">
        <v>194</v>
      </c>
      <c r="C495" s="22" t="s">
        <v>195</v>
      </c>
      <c r="D495" s="23">
        <f t="shared" ref="D495:F496" si="183">D498</f>
        <v>450</v>
      </c>
      <c r="E495" s="23">
        <f t="shared" si="183"/>
        <v>450</v>
      </c>
      <c r="F495" s="23">
        <f t="shared" si="183"/>
        <v>0</v>
      </c>
      <c r="G495" s="95">
        <f t="shared" si="174"/>
        <v>0</v>
      </c>
    </row>
    <row r="496" spans="1:7" x14ac:dyDescent="0.25">
      <c r="A496" s="21"/>
      <c r="B496" s="21" t="s">
        <v>196</v>
      </c>
      <c r="C496" s="22" t="s">
        <v>197</v>
      </c>
      <c r="D496" s="23">
        <f t="shared" si="183"/>
        <v>450</v>
      </c>
      <c r="E496" s="23">
        <f t="shared" si="183"/>
        <v>450</v>
      </c>
      <c r="F496" s="23">
        <f t="shared" si="183"/>
        <v>0</v>
      </c>
      <c r="G496" s="95">
        <f t="shared" si="174"/>
        <v>0</v>
      </c>
    </row>
    <row r="497" spans="1:7" x14ac:dyDescent="0.25">
      <c r="A497" s="18" t="s">
        <v>150</v>
      </c>
      <c r="B497" s="18" t="s">
        <v>102</v>
      </c>
      <c r="C497" s="5" t="s">
        <v>254</v>
      </c>
      <c r="D497" s="17"/>
      <c r="E497" s="17"/>
      <c r="F497" s="17"/>
      <c r="G497" s="95" t="e">
        <f t="shared" si="174"/>
        <v>#DIV/0!</v>
      </c>
    </row>
    <row r="498" spans="1:7" x14ac:dyDescent="0.25">
      <c r="A498" s="18"/>
      <c r="B498" s="33" t="s">
        <v>194</v>
      </c>
      <c r="C498" s="34" t="s">
        <v>195</v>
      </c>
      <c r="D498" s="88">
        <v>450</v>
      </c>
      <c r="E498" s="86">
        <f>'[1]BVC 2022 '!D498</f>
        <v>450</v>
      </c>
      <c r="F498" s="86">
        <f t="shared" ref="F498:F499" si="184">E498-D498</f>
        <v>0</v>
      </c>
      <c r="G498" s="95">
        <f t="shared" si="174"/>
        <v>0</v>
      </c>
    </row>
    <row r="499" spans="1:7" x14ac:dyDescent="0.25">
      <c r="A499" s="18"/>
      <c r="B499" s="33" t="s">
        <v>196</v>
      </c>
      <c r="C499" s="34" t="s">
        <v>197</v>
      </c>
      <c r="D499" s="88">
        <v>450</v>
      </c>
      <c r="E499" s="86">
        <f>'[1]BVC 2022 '!D499</f>
        <v>450</v>
      </c>
      <c r="F499" s="86">
        <f t="shared" si="184"/>
        <v>0</v>
      </c>
      <c r="G499" s="95">
        <f t="shared" si="174"/>
        <v>0</v>
      </c>
    </row>
    <row r="500" spans="1:7" x14ac:dyDescent="0.25">
      <c r="A500" s="21" t="s">
        <v>150</v>
      </c>
      <c r="B500" s="21" t="s">
        <v>129</v>
      </c>
      <c r="C500" s="22" t="s">
        <v>38</v>
      </c>
      <c r="D500" s="23"/>
      <c r="E500" s="23"/>
      <c r="F500" s="23"/>
      <c r="G500" s="95" t="e">
        <f t="shared" si="174"/>
        <v>#DIV/0!</v>
      </c>
    </row>
    <row r="501" spans="1:7" x14ac:dyDescent="0.25">
      <c r="A501" s="21"/>
      <c r="B501" s="21" t="s">
        <v>194</v>
      </c>
      <c r="C501" s="22" t="s">
        <v>195</v>
      </c>
      <c r="D501" s="23">
        <f t="shared" ref="D501:F502" si="185">D504</f>
        <v>450</v>
      </c>
      <c r="E501" s="23">
        <f t="shared" si="185"/>
        <v>450</v>
      </c>
      <c r="F501" s="23">
        <f t="shared" si="185"/>
        <v>0</v>
      </c>
      <c r="G501" s="95">
        <f t="shared" si="174"/>
        <v>0</v>
      </c>
    </row>
    <row r="502" spans="1:7" x14ac:dyDescent="0.25">
      <c r="A502" s="21"/>
      <c r="B502" s="21" t="s">
        <v>196</v>
      </c>
      <c r="C502" s="22" t="s">
        <v>197</v>
      </c>
      <c r="D502" s="23">
        <f t="shared" si="185"/>
        <v>450</v>
      </c>
      <c r="E502" s="23">
        <f t="shared" si="185"/>
        <v>450</v>
      </c>
      <c r="F502" s="23">
        <f t="shared" si="185"/>
        <v>0</v>
      </c>
      <c r="G502" s="95">
        <f t="shared" si="174"/>
        <v>0</v>
      </c>
    </row>
    <row r="503" spans="1:7" x14ac:dyDescent="0.25">
      <c r="A503" s="18" t="s">
        <v>150</v>
      </c>
      <c r="B503" s="18" t="s">
        <v>152</v>
      </c>
      <c r="C503" s="5" t="s">
        <v>138</v>
      </c>
      <c r="D503" s="17"/>
      <c r="E503" s="17"/>
      <c r="F503" s="17"/>
      <c r="G503" s="95" t="e">
        <f t="shared" si="174"/>
        <v>#DIV/0!</v>
      </c>
    </row>
    <row r="504" spans="1:7" x14ac:dyDescent="0.25">
      <c r="A504" s="18"/>
      <c r="B504" s="33" t="s">
        <v>194</v>
      </c>
      <c r="C504" s="34" t="s">
        <v>195</v>
      </c>
      <c r="D504" s="88">
        <v>450</v>
      </c>
      <c r="E504" s="86">
        <f>'[1]BVC 2022 '!D504</f>
        <v>450</v>
      </c>
      <c r="F504" s="86">
        <f t="shared" ref="F504:F505" si="186">E504-D504</f>
        <v>0</v>
      </c>
      <c r="G504" s="95">
        <f t="shared" si="174"/>
        <v>0</v>
      </c>
    </row>
    <row r="505" spans="1:7" x14ac:dyDescent="0.25">
      <c r="A505" s="18"/>
      <c r="B505" s="33" t="s">
        <v>196</v>
      </c>
      <c r="C505" s="34" t="s">
        <v>197</v>
      </c>
      <c r="D505" s="88">
        <v>450</v>
      </c>
      <c r="E505" s="86">
        <f>'[1]BVC 2022 '!D505</f>
        <v>450</v>
      </c>
      <c r="F505" s="86">
        <f t="shared" si="186"/>
        <v>0</v>
      </c>
      <c r="G505" s="95">
        <f t="shared" si="174"/>
        <v>0</v>
      </c>
    </row>
    <row r="506" spans="1:7" x14ac:dyDescent="0.25">
      <c r="A506" s="36" t="s">
        <v>30</v>
      </c>
      <c r="B506" s="36"/>
      <c r="C506" s="37" t="s">
        <v>153</v>
      </c>
      <c r="D506" s="38"/>
      <c r="E506" s="38"/>
      <c r="F506" s="38"/>
      <c r="G506" s="95" t="e">
        <f t="shared" si="174"/>
        <v>#DIV/0!</v>
      </c>
    </row>
    <row r="507" spans="1:7" x14ac:dyDescent="0.25">
      <c r="A507" s="36"/>
      <c r="B507" s="36" t="s">
        <v>194</v>
      </c>
      <c r="C507" s="37" t="s">
        <v>195</v>
      </c>
      <c r="D507" s="38">
        <f t="shared" ref="D507:F508" si="187">D510</f>
        <v>9614</v>
      </c>
      <c r="E507" s="38">
        <f t="shared" si="187"/>
        <v>9614</v>
      </c>
      <c r="F507" s="38">
        <f t="shared" si="187"/>
        <v>0</v>
      </c>
      <c r="G507" s="95">
        <f t="shared" si="174"/>
        <v>0</v>
      </c>
    </row>
    <row r="508" spans="1:7" x14ac:dyDescent="0.25">
      <c r="A508" s="36"/>
      <c r="B508" s="36" t="s">
        <v>196</v>
      </c>
      <c r="C508" s="37" t="s">
        <v>197</v>
      </c>
      <c r="D508" s="38">
        <f t="shared" si="187"/>
        <v>9614</v>
      </c>
      <c r="E508" s="38">
        <f t="shared" si="187"/>
        <v>9614</v>
      </c>
      <c r="F508" s="38">
        <f t="shared" si="187"/>
        <v>0</v>
      </c>
      <c r="G508" s="95">
        <f t="shared" si="174"/>
        <v>0</v>
      </c>
    </row>
    <row r="509" spans="1:7" x14ac:dyDescent="0.25">
      <c r="A509" s="36" t="s">
        <v>30</v>
      </c>
      <c r="B509" s="36" t="s">
        <v>41</v>
      </c>
      <c r="C509" s="37" t="s">
        <v>202</v>
      </c>
      <c r="D509" s="38"/>
      <c r="E509" s="38"/>
      <c r="F509" s="38"/>
      <c r="G509" s="95" t="e">
        <f t="shared" si="174"/>
        <v>#DIV/0!</v>
      </c>
    </row>
    <row r="510" spans="1:7" x14ac:dyDescent="0.25">
      <c r="A510" s="36"/>
      <c r="B510" s="36" t="s">
        <v>194</v>
      </c>
      <c r="C510" s="37" t="s">
        <v>195</v>
      </c>
      <c r="D510" s="38">
        <f t="shared" ref="D510:F511" si="188">D513</f>
        <v>9614</v>
      </c>
      <c r="E510" s="38">
        <f t="shared" si="188"/>
        <v>9614</v>
      </c>
      <c r="F510" s="38">
        <f t="shared" si="188"/>
        <v>0</v>
      </c>
      <c r="G510" s="95">
        <f t="shared" si="174"/>
        <v>0</v>
      </c>
    </row>
    <row r="511" spans="1:7" x14ac:dyDescent="0.25">
      <c r="A511" s="36"/>
      <c r="B511" s="36" t="s">
        <v>196</v>
      </c>
      <c r="C511" s="37" t="s">
        <v>197</v>
      </c>
      <c r="D511" s="38">
        <f t="shared" si="188"/>
        <v>9614</v>
      </c>
      <c r="E511" s="38">
        <f t="shared" si="188"/>
        <v>9614</v>
      </c>
      <c r="F511" s="38">
        <f t="shared" si="188"/>
        <v>0</v>
      </c>
      <c r="G511" s="95">
        <f t="shared" si="174"/>
        <v>0</v>
      </c>
    </row>
    <row r="512" spans="1:7" x14ac:dyDescent="0.25">
      <c r="A512" s="36" t="s">
        <v>30</v>
      </c>
      <c r="B512" s="36" t="s">
        <v>32</v>
      </c>
      <c r="C512" s="37" t="s">
        <v>33</v>
      </c>
      <c r="D512" s="38"/>
      <c r="E512" s="38"/>
      <c r="F512" s="38"/>
      <c r="G512" s="95" t="e">
        <f t="shared" si="174"/>
        <v>#DIV/0!</v>
      </c>
    </row>
    <row r="513" spans="1:7" x14ac:dyDescent="0.25">
      <c r="A513" s="36"/>
      <c r="B513" s="36" t="s">
        <v>194</v>
      </c>
      <c r="C513" s="37" t="s">
        <v>195</v>
      </c>
      <c r="D513" s="38">
        <f>D516+D525</f>
        <v>9614</v>
      </c>
      <c r="E513" s="38">
        <f t="shared" ref="E513:F514" si="189">E516+E525</f>
        <v>9614</v>
      </c>
      <c r="F513" s="38">
        <f t="shared" si="189"/>
        <v>0</v>
      </c>
      <c r="G513" s="95">
        <f t="shared" si="174"/>
        <v>0</v>
      </c>
    </row>
    <row r="514" spans="1:7" x14ac:dyDescent="0.25">
      <c r="A514" s="36"/>
      <c r="B514" s="36" t="s">
        <v>196</v>
      </c>
      <c r="C514" s="37" t="s">
        <v>197</v>
      </c>
      <c r="D514" s="38">
        <f>D517+D526</f>
        <v>9614</v>
      </c>
      <c r="E514" s="38">
        <f t="shared" si="189"/>
        <v>9614</v>
      </c>
      <c r="F514" s="38">
        <f t="shared" si="189"/>
        <v>0</v>
      </c>
      <c r="G514" s="95">
        <f t="shared" si="174"/>
        <v>0</v>
      </c>
    </row>
    <row r="515" spans="1:7" ht="25.5" x14ac:dyDescent="0.25">
      <c r="A515" s="36" t="s">
        <v>30</v>
      </c>
      <c r="B515" s="48" t="s">
        <v>115</v>
      </c>
      <c r="C515" s="49" t="s">
        <v>199</v>
      </c>
      <c r="D515" s="39"/>
      <c r="E515" s="39"/>
      <c r="F515" s="39"/>
      <c r="G515" s="95" t="e">
        <f t="shared" si="174"/>
        <v>#DIV/0!</v>
      </c>
    </row>
    <row r="516" spans="1:7" x14ac:dyDescent="0.25">
      <c r="A516" s="36"/>
      <c r="B516" s="36" t="s">
        <v>194</v>
      </c>
      <c r="C516" s="37" t="s">
        <v>195</v>
      </c>
      <c r="D516" s="39">
        <f t="shared" ref="D516:F517" si="190">D519</f>
        <v>7</v>
      </c>
      <c r="E516" s="39">
        <f t="shared" si="190"/>
        <v>7</v>
      </c>
      <c r="F516" s="39">
        <f t="shared" si="190"/>
        <v>0</v>
      </c>
      <c r="G516" s="95">
        <f t="shared" si="174"/>
        <v>0</v>
      </c>
    </row>
    <row r="517" spans="1:7" x14ac:dyDescent="0.25">
      <c r="A517" s="36"/>
      <c r="B517" s="36" t="s">
        <v>196</v>
      </c>
      <c r="C517" s="37" t="s">
        <v>197</v>
      </c>
      <c r="D517" s="39">
        <f t="shared" si="190"/>
        <v>7</v>
      </c>
      <c r="E517" s="39">
        <f t="shared" si="190"/>
        <v>7</v>
      </c>
      <c r="F517" s="39">
        <f t="shared" si="190"/>
        <v>0</v>
      </c>
      <c r="G517" s="95">
        <f t="shared" si="174"/>
        <v>0</v>
      </c>
    </row>
    <row r="518" spans="1:7" x14ac:dyDescent="0.25">
      <c r="A518" s="36" t="s">
        <v>30</v>
      </c>
      <c r="B518" s="48" t="s">
        <v>154</v>
      </c>
      <c r="C518" s="49" t="s">
        <v>155</v>
      </c>
      <c r="D518" s="39"/>
      <c r="E518" s="39"/>
      <c r="F518" s="39"/>
      <c r="G518" s="95" t="e">
        <f t="shared" si="174"/>
        <v>#DIV/0!</v>
      </c>
    </row>
    <row r="519" spans="1:7" x14ac:dyDescent="0.25">
      <c r="A519" s="36"/>
      <c r="B519" s="36" t="s">
        <v>194</v>
      </c>
      <c r="C519" s="37" t="s">
        <v>195</v>
      </c>
      <c r="D519" s="39">
        <f t="shared" ref="D519:F520" si="191">D522</f>
        <v>7</v>
      </c>
      <c r="E519" s="39">
        <f t="shared" si="191"/>
        <v>7</v>
      </c>
      <c r="F519" s="39">
        <f t="shared" si="191"/>
        <v>0</v>
      </c>
      <c r="G519" s="95">
        <f t="shared" si="174"/>
        <v>0</v>
      </c>
    </row>
    <row r="520" spans="1:7" x14ac:dyDescent="0.25">
      <c r="A520" s="36"/>
      <c r="B520" s="36" t="s">
        <v>196</v>
      </c>
      <c r="C520" s="37" t="s">
        <v>197</v>
      </c>
      <c r="D520" s="39">
        <f t="shared" si="191"/>
        <v>7</v>
      </c>
      <c r="E520" s="39">
        <f t="shared" si="191"/>
        <v>7</v>
      </c>
      <c r="F520" s="39">
        <f t="shared" si="191"/>
        <v>0</v>
      </c>
      <c r="G520" s="95">
        <f t="shared" si="174"/>
        <v>0</v>
      </c>
    </row>
    <row r="521" spans="1:7" x14ac:dyDescent="0.25">
      <c r="A521" s="18" t="s">
        <v>30</v>
      </c>
      <c r="B521" s="12" t="s">
        <v>156</v>
      </c>
      <c r="C521" s="53" t="s">
        <v>246</v>
      </c>
      <c r="D521" s="73"/>
      <c r="E521" s="73"/>
      <c r="F521" s="73"/>
      <c r="G521" s="95" t="e">
        <f t="shared" si="174"/>
        <v>#DIV/0!</v>
      </c>
    </row>
    <row r="522" spans="1:7" x14ac:dyDescent="0.25">
      <c r="A522" s="18"/>
      <c r="B522" s="33" t="s">
        <v>194</v>
      </c>
      <c r="C522" s="34" t="s">
        <v>195</v>
      </c>
      <c r="D522" s="17">
        <v>7</v>
      </c>
      <c r="E522" s="86">
        <f>'[1]BVC 2022 '!D522</f>
        <v>7</v>
      </c>
      <c r="F522" s="86">
        <f t="shared" ref="F522:F523" si="192">E522-D522</f>
        <v>0</v>
      </c>
      <c r="G522" s="95">
        <f t="shared" si="174"/>
        <v>0</v>
      </c>
    </row>
    <row r="523" spans="1:7" x14ac:dyDescent="0.25">
      <c r="A523" s="18"/>
      <c r="B523" s="33" t="s">
        <v>196</v>
      </c>
      <c r="C523" s="34" t="s">
        <v>197</v>
      </c>
      <c r="D523" s="29">
        <v>7</v>
      </c>
      <c r="E523" s="86">
        <f>'[1]BVC 2022 '!D523</f>
        <v>7</v>
      </c>
      <c r="F523" s="86">
        <f t="shared" si="192"/>
        <v>0</v>
      </c>
      <c r="G523" s="95">
        <f t="shared" si="174"/>
        <v>0</v>
      </c>
    </row>
    <row r="524" spans="1:7" ht="38.25" x14ac:dyDescent="0.25">
      <c r="A524" s="116" t="s">
        <v>30</v>
      </c>
      <c r="B524" s="48">
        <v>58</v>
      </c>
      <c r="C524" s="49" t="s">
        <v>200</v>
      </c>
      <c r="D524" s="39"/>
      <c r="E524" s="39"/>
      <c r="F524" s="39"/>
      <c r="G524" s="95" t="e">
        <f t="shared" si="174"/>
        <v>#DIV/0!</v>
      </c>
    </row>
    <row r="525" spans="1:7" x14ac:dyDescent="0.25">
      <c r="A525" s="36"/>
      <c r="B525" s="36" t="s">
        <v>194</v>
      </c>
      <c r="C525" s="37" t="s">
        <v>195</v>
      </c>
      <c r="D525" s="39">
        <f t="shared" ref="D525:F526" si="193">D528</f>
        <v>9607</v>
      </c>
      <c r="E525" s="39">
        <f t="shared" si="193"/>
        <v>9607</v>
      </c>
      <c r="F525" s="39">
        <f t="shared" si="193"/>
        <v>0</v>
      </c>
      <c r="G525" s="95">
        <f t="shared" si="174"/>
        <v>0</v>
      </c>
    </row>
    <row r="526" spans="1:7" x14ac:dyDescent="0.25">
      <c r="A526" s="36"/>
      <c r="B526" s="36" t="s">
        <v>196</v>
      </c>
      <c r="C526" s="37" t="s">
        <v>197</v>
      </c>
      <c r="D526" s="39">
        <f t="shared" si="193"/>
        <v>9607</v>
      </c>
      <c r="E526" s="39">
        <f t="shared" si="193"/>
        <v>9607</v>
      </c>
      <c r="F526" s="39">
        <f t="shared" si="193"/>
        <v>0</v>
      </c>
      <c r="G526" s="95">
        <f t="shared" si="174"/>
        <v>0</v>
      </c>
    </row>
    <row r="527" spans="1:7" x14ac:dyDescent="0.25">
      <c r="A527" s="36" t="s">
        <v>30</v>
      </c>
      <c r="B527" s="117" t="s">
        <v>321</v>
      </c>
      <c r="C527" s="49" t="s">
        <v>155</v>
      </c>
      <c r="D527" s="39"/>
      <c r="E527" s="39"/>
      <c r="F527" s="39"/>
      <c r="G527" s="95" t="e">
        <f t="shared" si="174"/>
        <v>#DIV/0!</v>
      </c>
    </row>
    <row r="528" spans="1:7" x14ac:dyDescent="0.25">
      <c r="A528" s="36"/>
      <c r="B528" s="36" t="s">
        <v>194</v>
      </c>
      <c r="C528" s="37" t="s">
        <v>195</v>
      </c>
      <c r="D528" s="39">
        <f t="shared" ref="D528:F529" si="194">D531</f>
        <v>9607</v>
      </c>
      <c r="E528" s="39">
        <f t="shared" si="194"/>
        <v>9607</v>
      </c>
      <c r="F528" s="39">
        <f t="shared" si="194"/>
        <v>0</v>
      </c>
      <c r="G528" s="95">
        <f t="shared" si="174"/>
        <v>0</v>
      </c>
    </row>
    <row r="529" spans="1:7" x14ac:dyDescent="0.25">
      <c r="A529" s="36"/>
      <c r="B529" s="36" t="s">
        <v>196</v>
      </c>
      <c r="C529" s="37" t="s">
        <v>197</v>
      </c>
      <c r="D529" s="39">
        <f t="shared" si="194"/>
        <v>9607</v>
      </c>
      <c r="E529" s="39">
        <f t="shared" si="194"/>
        <v>9607</v>
      </c>
      <c r="F529" s="39">
        <f t="shared" si="194"/>
        <v>0</v>
      </c>
      <c r="G529" s="95">
        <f t="shared" si="174"/>
        <v>0</v>
      </c>
    </row>
    <row r="530" spans="1:7" x14ac:dyDescent="0.25">
      <c r="A530" s="18" t="s">
        <v>30</v>
      </c>
      <c r="B530" s="12" t="s">
        <v>126</v>
      </c>
      <c r="C530" s="53" t="s">
        <v>246</v>
      </c>
      <c r="D530" s="73"/>
      <c r="E530" s="73"/>
      <c r="F530" s="73"/>
      <c r="G530" s="95" t="e">
        <f t="shared" si="174"/>
        <v>#DIV/0!</v>
      </c>
    </row>
    <row r="531" spans="1:7" x14ac:dyDescent="0.25">
      <c r="A531" s="18"/>
      <c r="B531" s="33" t="s">
        <v>194</v>
      </c>
      <c r="C531" s="34" t="s">
        <v>195</v>
      </c>
      <c r="D531" s="17">
        <v>9607</v>
      </c>
      <c r="E531" s="86">
        <f>'[1]BVC 2022 '!D531</f>
        <v>9607</v>
      </c>
      <c r="F531" s="86">
        <f t="shared" ref="F531:F533" si="195">E531-D531</f>
        <v>0</v>
      </c>
      <c r="G531" s="95">
        <f t="shared" si="174"/>
        <v>0</v>
      </c>
    </row>
    <row r="532" spans="1:7" x14ac:dyDescent="0.25">
      <c r="A532" s="18"/>
      <c r="B532" s="33" t="s">
        <v>196</v>
      </c>
      <c r="C532" s="34" t="s">
        <v>197</v>
      </c>
      <c r="D532" s="29">
        <v>9607</v>
      </c>
      <c r="E532" s="86">
        <f>'[1]BVC 2022 '!D532</f>
        <v>9607</v>
      </c>
      <c r="F532" s="86">
        <f t="shared" si="195"/>
        <v>0</v>
      </c>
      <c r="G532" s="95">
        <f t="shared" si="174"/>
        <v>0</v>
      </c>
    </row>
    <row r="533" spans="1:7" x14ac:dyDescent="0.25">
      <c r="A533" s="18" t="s">
        <v>30</v>
      </c>
      <c r="B533" s="18" t="s">
        <v>157</v>
      </c>
      <c r="C533" s="53" t="s">
        <v>158</v>
      </c>
      <c r="D533" s="73">
        <f>D9-D67</f>
        <v>-93390</v>
      </c>
      <c r="E533" s="86">
        <f>'[1]BVC 2022 '!D533</f>
        <v>-119310</v>
      </c>
      <c r="F533" s="86">
        <f t="shared" si="195"/>
        <v>-25920</v>
      </c>
      <c r="G533" s="95">
        <f t="shared" si="174"/>
        <v>27.754577577899131</v>
      </c>
    </row>
    <row r="536" spans="1:7" ht="15.75" hidden="1" x14ac:dyDescent="0.25">
      <c r="A536" s="102"/>
      <c r="B536" s="102"/>
      <c r="C536" s="102" t="s">
        <v>308</v>
      </c>
      <c r="D536" s="114"/>
      <c r="E536" t="s">
        <v>341</v>
      </c>
      <c r="F536" s="114"/>
    </row>
    <row r="537" spans="1:7" ht="18" hidden="1" customHeight="1" x14ac:dyDescent="0.25">
      <c r="A537" s="102"/>
      <c r="B537" s="102"/>
      <c r="C537" s="102" t="s">
        <v>309</v>
      </c>
      <c r="D537" s="115"/>
      <c r="E537" t="s">
        <v>322</v>
      </c>
      <c r="F537" s="115"/>
    </row>
    <row r="538" spans="1:7" s="85" customFormat="1" ht="18" hidden="1" customHeight="1" x14ac:dyDescent="0.25">
      <c r="C538" s="98"/>
      <c r="D538" s="99"/>
      <c r="E538" s="99"/>
      <c r="F538" s="99"/>
    </row>
    <row r="539" spans="1:7" s="85" customFormat="1" ht="17.25" customHeight="1" x14ac:dyDescent="0.25">
      <c r="C539" s="98"/>
      <c r="D539" s="100"/>
      <c r="E539" s="100"/>
      <c r="F539" s="100"/>
    </row>
    <row r="540" spans="1:7" s="85" customFormat="1" x14ac:dyDescent="0.25"/>
  </sheetData>
  <mergeCells count="2">
    <mergeCell ref="A2:F3"/>
    <mergeCell ref="A5:C5"/>
  </mergeCells>
  <pageMargins left="1.2" right="0.7" top="0.75" bottom="0.5" header="0.3" footer="0.3"/>
  <pageSetup paperSize="9" scale="59" orientation="portrait" r:id="rId1"/>
  <rowBreaks count="6" manualBreakCount="6">
    <brk id="69" max="5" man="1"/>
    <brk id="153" max="5" man="1"/>
    <brk id="231" max="5" man="1"/>
    <brk id="309" max="5" man="1"/>
    <brk id="382" max="5" man="1"/>
    <brk id="45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0F56-C6B2-4F78-A4CE-17E9A1E5C0B8}">
  <sheetPr>
    <tabColor theme="3" tint="0.59999389629810485"/>
  </sheetPr>
  <dimension ref="A1:J540"/>
  <sheetViews>
    <sheetView zoomScale="130" zoomScaleNormal="130" workbookViewId="0">
      <pane xSplit="3" ySplit="8" topLeftCell="D386" activePane="bottomRight" state="frozen"/>
      <selection pane="topRight" activeCell="D1" sqref="D1"/>
      <selection pane="bottomLeft" activeCell="A9" sqref="A9"/>
      <selection pane="bottomRight" activeCell="J397" sqref="J397"/>
    </sheetView>
  </sheetViews>
  <sheetFormatPr defaultRowHeight="15" x14ac:dyDescent="0.25"/>
  <cols>
    <col min="1" max="1" width="10.42578125" customWidth="1"/>
    <col min="3" max="3" width="55.7109375" customWidth="1"/>
    <col min="4" max="5" width="15.7109375" customWidth="1"/>
    <col min="6" max="6" width="9.140625" hidden="1" customWidth="1"/>
    <col min="7" max="7" width="10.5703125" hidden="1" customWidth="1"/>
    <col min="8" max="8" width="9.85546875" hidden="1" customWidth="1"/>
    <col min="9" max="10" width="9.140625" customWidth="1"/>
  </cols>
  <sheetData>
    <row r="1" spans="1:10" x14ac:dyDescent="0.25">
      <c r="A1" s="120"/>
      <c r="D1" s="104" t="s">
        <v>304</v>
      </c>
      <c r="E1" s="104" t="s">
        <v>304</v>
      </c>
    </row>
    <row r="2" spans="1:10" ht="15" customHeight="1" x14ac:dyDescent="0.25">
      <c r="A2" s="135" t="s">
        <v>323</v>
      </c>
      <c r="B2" s="135"/>
      <c r="C2" s="135"/>
      <c r="D2" s="135"/>
      <c r="E2" s="135"/>
    </row>
    <row r="3" spans="1:10" ht="18.75" customHeight="1" x14ac:dyDescent="0.25">
      <c r="A3" s="135"/>
      <c r="B3" s="135"/>
      <c r="C3" s="135"/>
      <c r="D3" s="135"/>
      <c r="E3" s="135"/>
    </row>
    <row r="4" spans="1:10" ht="10.5" customHeight="1" x14ac:dyDescent="0.25">
      <c r="A4" s="132"/>
      <c r="B4" s="132"/>
      <c r="C4" s="132"/>
      <c r="D4" s="132"/>
      <c r="E4" s="132"/>
    </row>
    <row r="5" spans="1:10" ht="15" customHeight="1" x14ac:dyDescent="0.4">
      <c r="A5" s="136" t="s">
        <v>159</v>
      </c>
      <c r="B5" s="136"/>
      <c r="C5" s="136"/>
      <c r="D5" s="77"/>
      <c r="E5" s="77"/>
    </row>
    <row r="6" spans="1:10" ht="19.5" customHeight="1" x14ac:dyDescent="0.4">
      <c r="A6" s="1"/>
      <c r="B6" s="8"/>
      <c r="C6" s="8"/>
      <c r="D6" s="77"/>
      <c r="E6" s="89" t="s">
        <v>295</v>
      </c>
    </row>
    <row r="7" spans="1:10" ht="25.5" x14ac:dyDescent="0.25">
      <c r="A7" s="78" t="s">
        <v>0</v>
      </c>
      <c r="B7" s="78" t="s">
        <v>294</v>
      </c>
      <c r="C7" s="79" t="s">
        <v>1</v>
      </c>
      <c r="D7" s="91" t="s">
        <v>343</v>
      </c>
      <c r="E7" s="91" t="s">
        <v>324</v>
      </c>
      <c r="G7" s="109"/>
      <c r="H7" s="110" t="s">
        <v>315</v>
      </c>
    </row>
    <row r="8" spans="1:10" x14ac:dyDescent="0.25">
      <c r="A8" s="81"/>
      <c r="B8" s="81">
        <v>1</v>
      </c>
      <c r="C8" s="82">
        <v>2</v>
      </c>
      <c r="D8" s="82">
        <v>3</v>
      </c>
      <c r="E8" s="82">
        <v>4</v>
      </c>
      <c r="G8" s="111" t="s">
        <v>275</v>
      </c>
      <c r="H8" s="110" t="s">
        <v>316</v>
      </c>
    </row>
    <row r="9" spans="1:10" x14ac:dyDescent="0.25">
      <c r="A9" s="24"/>
      <c r="B9" s="24"/>
      <c r="C9" s="13" t="s">
        <v>2</v>
      </c>
      <c r="D9" s="14">
        <f>D10+D26</f>
        <v>1097852</v>
      </c>
      <c r="E9" s="14">
        <f t="shared" ref="E9" si="0">E10+E26</f>
        <v>1757942</v>
      </c>
      <c r="G9" s="128">
        <f>E9-D9</f>
        <v>660090</v>
      </c>
      <c r="H9" s="112">
        <f>G9/D9*100</f>
        <v>60.125590698928455</v>
      </c>
      <c r="I9" s="95">
        <f>D9/'[1]Influente bvc 2022 vs 2022 init'!D9*100</f>
        <v>63.979775469481382</v>
      </c>
    </row>
    <row r="10" spans="1:10" x14ac:dyDescent="0.25">
      <c r="A10" s="15"/>
      <c r="B10" s="15"/>
      <c r="C10" s="2" t="s">
        <v>3</v>
      </c>
      <c r="D10" s="16">
        <f>D11</f>
        <v>729084</v>
      </c>
      <c r="E10" s="16">
        <f t="shared" ref="E10" si="1">E11</f>
        <v>1016009</v>
      </c>
      <c r="G10" s="128">
        <f t="shared" ref="G10:G73" si="2">E10-D10</f>
        <v>286925</v>
      </c>
      <c r="H10" s="112">
        <f t="shared" ref="H10:H73" si="3">G10/D10*100</f>
        <v>39.354175924859135</v>
      </c>
      <c r="I10" s="95">
        <f>D10/'[1]Influente bvc 2022 vs 2022 init'!D10*100</f>
        <v>75.121169158739846</v>
      </c>
    </row>
    <row r="11" spans="1:10" x14ac:dyDescent="0.25">
      <c r="A11" s="15"/>
      <c r="B11" s="15"/>
      <c r="C11" s="2" t="s">
        <v>173</v>
      </c>
      <c r="D11" s="16">
        <f>D17+D19+D21+D12+D15</f>
        <v>729084</v>
      </c>
      <c r="E11" s="16">
        <f t="shared" ref="E11" si="4">E17+E19+E21+E12+E15</f>
        <v>1016009</v>
      </c>
      <c r="G11" s="128">
        <f t="shared" si="2"/>
        <v>286925</v>
      </c>
      <c r="H11" s="112">
        <f t="shared" si="3"/>
        <v>39.354175924859135</v>
      </c>
    </row>
    <row r="12" spans="1:10" x14ac:dyDescent="0.25">
      <c r="A12" s="15" t="s">
        <v>267</v>
      </c>
      <c r="B12" s="15"/>
      <c r="C12" s="2" t="s">
        <v>257</v>
      </c>
      <c r="D12" s="16">
        <f t="shared" ref="D12:E13" si="5">D13</f>
        <v>1257</v>
      </c>
      <c r="E12" s="16">
        <f t="shared" si="5"/>
        <v>1257</v>
      </c>
      <c r="G12" s="128">
        <f t="shared" si="2"/>
        <v>0</v>
      </c>
      <c r="H12" s="112">
        <f t="shared" si="3"/>
        <v>0</v>
      </c>
    </row>
    <row r="13" spans="1:10" x14ac:dyDescent="0.25">
      <c r="A13" s="15" t="s">
        <v>266</v>
      </c>
      <c r="B13" s="15"/>
      <c r="C13" s="2" t="s">
        <v>258</v>
      </c>
      <c r="D13" s="16">
        <f t="shared" si="5"/>
        <v>1257</v>
      </c>
      <c r="E13" s="16">
        <f t="shared" si="5"/>
        <v>1257</v>
      </c>
      <c r="G13" s="128">
        <f t="shared" si="2"/>
        <v>0</v>
      </c>
      <c r="H13" s="112">
        <f t="shared" si="3"/>
        <v>0</v>
      </c>
      <c r="J13" s="129"/>
    </row>
    <row r="14" spans="1:10" ht="25.5" x14ac:dyDescent="0.25">
      <c r="A14" s="55" t="s">
        <v>265</v>
      </c>
      <c r="B14" s="55"/>
      <c r="C14" s="74" t="s">
        <v>259</v>
      </c>
      <c r="D14" s="29">
        <v>1257</v>
      </c>
      <c r="E14" s="86">
        <f>'[1]BVC 2022 '!D14</f>
        <v>1257</v>
      </c>
      <c r="G14" s="128">
        <f t="shared" si="2"/>
        <v>0</v>
      </c>
      <c r="H14" s="112">
        <f t="shared" si="3"/>
        <v>0</v>
      </c>
    </row>
    <row r="15" spans="1:10" x14ac:dyDescent="0.25">
      <c r="A15" s="4" t="s">
        <v>290</v>
      </c>
      <c r="B15" s="15"/>
      <c r="C15" s="2" t="s">
        <v>292</v>
      </c>
      <c r="D15" s="16">
        <f>D16</f>
        <v>113</v>
      </c>
      <c r="E15" s="16">
        <f t="shared" ref="E15" si="6">E16</f>
        <v>113</v>
      </c>
      <c r="G15" s="128">
        <f t="shared" si="2"/>
        <v>0</v>
      </c>
      <c r="H15" s="112">
        <f t="shared" si="3"/>
        <v>0</v>
      </c>
    </row>
    <row r="16" spans="1:10" x14ac:dyDescent="0.25">
      <c r="A16" s="50" t="s">
        <v>291</v>
      </c>
      <c r="B16" s="18"/>
      <c r="C16" s="5" t="s">
        <v>292</v>
      </c>
      <c r="D16" s="86">
        <v>113</v>
      </c>
      <c r="E16" s="86">
        <f>'[1]BVC 2022 '!D16</f>
        <v>113</v>
      </c>
      <c r="G16" s="128">
        <f t="shared" si="2"/>
        <v>0</v>
      </c>
      <c r="H16" s="112">
        <f t="shared" si="3"/>
        <v>0</v>
      </c>
    </row>
    <row r="17" spans="1:10" x14ac:dyDescent="0.25">
      <c r="A17" s="4" t="s">
        <v>4</v>
      </c>
      <c r="B17" s="15"/>
      <c r="C17" s="2" t="s">
        <v>174</v>
      </c>
      <c r="D17" s="16">
        <f t="shared" ref="D17:E17" si="7">D18</f>
        <v>721722</v>
      </c>
      <c r="E17" s="16">
        <f t="shared" si="7"/>
        <v>1004898</v>
      </c>
      <c r="G17" s="128">
        <f t="shared" si="2"/>
        <v>283176</v>
      </c>
      <c r="H17" s="112">
        <f t="shared" si="3"/>
        <v>39.236160183560983</v>
      </c>
    </row>
    <row r="18" spans="1:10" x14ac:dyDescent="0.25">
      <c r="A18" s="50" t="s">
        <v>5</v>
      </c>
      <c r="B18" s="18"/>
      <c r="C18" s="5" t="s">
        <v>175</v>
      </c>
      <c r="D18" s="88">
        <v>721722</v>
      </c>
      <c r="E18" s="86">
        <f>'[1]BVC 2022 '!D18</f>
        <v>1004898</v>
      </c>
      <c r="G18" s="128">
        <f t="shared" si="2"/>
        <v>283176</v>
      </c>
      <c r="H18" s="112">
        <f t="shared" si="3"/>
        <v>39.236160183560983</v>
      </c>
    </row>
    <row r="19" spans="1:10" x14ac:dyDescent="0.25">
      <c r="A19" s="4" t="s">
        <v>6</v>
      </c>
      <c r="B19" s="15"/>
      <c r="C19" s="2" t="s">
        <v>176</v>
      </c>
      <c r="D19" s="16">
        <f t="shared" ref="D19:E19" si="8">D20</f>
        <v>207</v>
      </c>
      <c r="E19" s="16">
        <f t="shared" si="8"/>
        <v>359</v>
      </c>
      <c r="G19" s="128">
        <f t="shared" si="2"/>
        <v>152</v>
      </c>
      <c r="H19" s="112">
        <f t="shared" si="3"/>
        <v>73.429951690821255</v>
      </c>
    </row>
    <row r="20" spans="1:10" x14ac:dyDescent="0.25">
      <c r="A20" s="50" t="s">
        <v>7</v>
      </c>
      <c r="B20" s="18"/>
      <c r="C20" s="5" t="s">
        <v>177</v>
      </c>
      <c r="D20" s="17">
        <f>208-1</f>
        <v>207</v>
      </c>
      <c r="E20" s="86">
        <f>'[1]BVC 2022 '!D20</f>
        <v>359</v>
      </c>
      <c r="G20" s="128">
        <f t="shared" si="2"/>
        <v>152</v>
      </c>
      <c r="H20" s="112">
        <f t="shared" si="3"/>
        <v>73.429951690821255</v>
      </c>
    </row>
    <row r="21" spans="1:10" x14ac:dyDescent="0.25">
      <c r="A21" s="4" t="s">
        <v>8</v>
      </c>
      <c r="B21" s="15"/>
      <c r="C21" s="2" t="s">
        <v>9</v>
      </c>
      <c r="D21" s="3">
        <f>D22+D23</f>
        <v>5785</v>
      </c>
      <c r="E21" s="3">
        <f t="shared" ref="E21" si="9">E22+E23</f>
        <v>9382</v>
      </c>
      <c r="G21" s="128">
        <f t="shared" si="2"/>
        <v>3597</v>
      </c>
      <c r="H21" s="112">
        <f t="shared" si="3"/>
        <v>62.1780466724287</v>
      </c>
    </row>
    <row r="22" spans="1:10" hidden="1" x14ac:dyDescent="0.25">
      <c r="A22" s="75" t="s">
        <v>264</v>
      </c>
      <c r="B22" s="55"/>
      <c r="C22" s="74" t="s">
        <v>260</v>
      </c>
      <c r="D22" s="76"/>
      <c r="E22" s="76"/>
      <c r="G22" s="128">
        <f t="shared" si="2"/>
        <v>0</v>
      </c>
      <c r="H22" s="112" t="e">
        <f t="shared" si="3"/>
        <v>#DIV/0!</v>
      </c>
    </row>
    <row r="23" spans="1:10" x14ac:dyDescent="0.25">
      <c r="A23" s="4" t="s">
        <v>10</v>
      </c>
      <c r="B23" s="15"/>
      <c r="C23" s="2" t="s">
        <v>11</v>
      </c>
      <c r="D23" s="16">
        <f>D24+D25</f>
        <v>5785</v>
      </c>
      <c r="E23" s="16">
        <f t="shared" ref="E23" si="10">E24+E25</f>
        <v>9382</v>
      </c>
      <c r="G23" s="128">
        <f t="shared" si="2"/>
        <v>3597</v>
      </c>
      <c r="H23" s="112">
        <f t="shared" si="3"/>
        <v>62.1780466724287</v>
      </c>
    </row>
    <row r="24" spans="1:10" ht="25.5" x14ac:dyDescent="0.25">
      <c r="A24" s="50"/>
      <c r="B24" s="18"/>
      <c r="C24" s="5" t="s">
        <v>178</v>
      </c>
      <c r="D24" s="88">
        <v>4460</v>
      </c>
      <c r="E24" s="86">
        <f>'[1]BVC 2022 '!D24</f>
        <v>7960</v>
      </c>
      <c r="G24" s="128">
        <f t="shared" si="2"/>
        <v>3500</v>
      </c>
      <c r="H24" s="112">
        <f t="shared" si="3"/>
        <v>78.475336322869964</v>
      </c>
    </row>
    <row r="25" spans="1:10" x14ac:dyDescent="0.25">
      <c r="A25" s="50"/>
      <c r="B25" s="18"/>
      <c r="C25" s="5" t="s">
        <v>179</v>
      </c>
      <c r="D25" s="17">
        <v>1325</v>
      </c>
      <c r="E25" s="86">
        <f>'[1]BVC 2022 '!D25</f>
        <v>1422</v>
      </c>
      <c r="G25" s="128">
        <f t="shared" si="2"/>
        <v>97</v>
      </c>
      <c r="H25" s="112">
        <f t="shared" si="3"/>
        <v>7.3207547169811313</v>
      </c>
    </row>
    <row r="26" spans="1:10" x14ac:dyDescent="0.25">
      <c r="A26" s="15"/>
      <c r="B26" s="15"/>
      <c r="C26" s="19" t="s">
        <v>180</v>
      </c>
      <c r="D26" s="16">
        <f>D27+D41+D46</f>
        <v>368768</v>
      </c>
      <c r="E26" s="16">
        <f t="shared" ref="E26" si="11">E27+E41+E46</f>
        <v>741933</v>
      </c>
      <c r="G26" s="128">
        <f t="shared" si="2"/>
        <v>373165</v>
      </c>
      <c r="H26" s="112">
        <f t="shared" si="3"/>
        <v>101.19234857688302</v>
      </c>
    </row>
    <row r="27" spans="1:10" x14ac:dyDescent="0.25">
      <c r="A27" s="4" t="s">
        <v>12</v>
      </c>
      <c r="B27" s="15"/>
      <c r="C27" s="2" t="s">
        <v>181</v>
      </c>
      <c r="D27" s="16">
        <f>D28+D36+D37</f>
        <v>361886</v>
      </c>
      <c r="E27" s="16">
        <f t="shared" ref="E27" si="12">E28+E36+E37</f>
        <v>720611</v>
      </c>
      <c r="G27" s="128">
        <f t="shared" si="2"/>
        <v>358725</v>
      </c>
      <c r="H27" s="112">
        <f t="shared" si="3"/>
        <v>99.126520506457837</v>
      </c>
      <c r="I27" s="38">
        <f>D27-D409</f>
        <v>0</v>
      </c>
      <c r="J27" s="129"/>
    </row>
    <row r="28" spans="1:10" ht="25.5" x14ac:dyDescent="0.25">
      <c r="A28" s="4" t="s">
        <v>13</v>
      </c>
      <c r="B28" s="15"/>
      <c r="C28" s="2" t="s">
        <v>182</v>
      </c>
      <c r="D28" s="16">
        <f>D29+D31+D35+D30+D34</f>
        <v>97490</v>
      </c>
      <c r="E28" s="16">
        <f t="shared" ref="E28" si="13">E29+E31+E35+E30+E34</f>
        <v>161725</v>
      </c>
      <c r="G28" s="128">
        <f t="shared" si="2"/>
        <v>64235</v>
      </c>
      <c r="H28" s="112">
        <f t="shared" si="3"/>
        <v>65.888809108626518</v>
      </c>
      <c r="J28" s="129"/>
    </row>
    <row r="29" spans="1:10" ht="25.5" x14ac:dyDescent="0.25">
      <c r="A29" s="18"/>
      <c r="B29" s="18"/>
      <c r="C29" s="5" t="s">
        <v>183</v>
      </c>
      <c r="D29" s="88">
        <v>425</v>
      </c>
      <c r="E29" s="86">
        <f>'[1]BVC 2022 '!D29</f>
        <v>900</v>
      </c>
      <c r="G29" s="128">
        <f t="shared" si="2"/>
        <v>475</v>
      </c>
      <c r="H29" s="112">
        <f t="shared" si="3"/>
        <v>111.76470588235294</v>
      </c>
    </row>
    <row r="30" spans="1:10" x14ac:dyDescent="0.25">
      <c r="A30" s="18"/>
      <c r="B30" s="18"/>
      <c r="C30" s="5" t="s">
        <v>184</v>
      </c>
      <c r="D30" s="17">
        <v>27028</v>
      </c>
      <c r="E30" s="86">
        <f>'[1]BVC 2022 '!D30</f>
        <v>38500</v>
      </c>
      <c r="G30" s="128">
        <f t="shared" si="2"/>
        <v>11472</v>
      </c>
      <c r="H30" s="112">
        <f t="shared" si="3"/>
        <v>42.444871984608554</v>
      </c>
    </row>
    <row r="31" spans="1:10" x14ac:dyDescent="0.25">
      <c r="A31" s="15"/>
      <c r="B31" s="15"/>
      <c r="C31" s="2" t="s">
        <v>185</v>
      </c>
      <c r="D31" s="16">
        <f t="shared" ref="D31:E31" si="14">D32+D33</f>
        <v>69926</v>
      </c>
      <c r="E31" s="16">
        <f t="shared" si="14"/>
        <v>122100</v>
      </c>
      <c r="G31" s="128">
        <f t="shared" si="2"/>
        <v>52174</v>
      </c>
      <c r="H31" s="112">
        <f t="shared" si="3"/>
        <v>74.61316248605668</v>
      </c>
    </row>
    <row r="32" spans="1:10" x14ac:dyDescent="0.25">
      <c r="A32" s="18"/>
      <c r="B32" s="18"/>
      <c r="C32" s="5" t="s">
        <v>136</v>
      </c>
      <c r="D32" s="88">
        <v>69926</v>
      </c>
      <c r="E32" s="86">
        <f>'[1]BVC 2022 '!D32</f>
        <v>122100</v>
      </c>
      <c r="G32" s="128">
        <f t="shared" si="2"/>
        <v>52174</v>
      </c>
      <c r="H32" s="112">
        <f t="shared" si="3"/>
        <v>74.61316248605668</v>
      </c>
    </row>
    <row r="33" spans="1:8" x14ac:dyDescent="0.25">
      <c r="A33" s="18"/>
      <c r="B33" s="18"/>
      <c r="C33" s="5" t="s">
        <v>14</v>
      </c>
      <c r="D33" s="88">
        <v>0</v>
      </c>
      <c r="E33" s="86">
        <f>'[1]BVC 2022 '!D33</f>
        <v>0</v>
      </c>
      <c r="G33" s="128">
        <f t="shared" si="2"/>
        <v>0</v>
      </c>
      <c r="H33" s="112" t="e">
        <f t="shared" si="3"/>
        <v>#DIV/0!</v>
      </c>
    </row>
    <row r="34" spans="1:8" hidden="1" x14ac:dyDescent="0.25">
      <c r="A34" s="6"/>
      <c r="B34" s="6"/>
      <c r="C34" s="6" t="s">
        <v>293</v>
      </c>
      <c r="D34" s="87"/>
      <c r="E34" s="87"/>
      <c r="G34" s="128">
        <f t="shared" si="2"/>
        <v>0</v>
      </c>
      <c r="H34" s="112" t="e">
        <f t="shared" si="3"/>
        <v>#DIV/0!</v>
      </c>
    </row>
    <row r="35" spans="1:8" x14ac:dyDescent="0.25">
      <c r="A35" s="28"/>
      <c r="B35" s="28"/>
      <c r="C35" s="6" t="s">
        <v>186</v>
      </c>
      <c r="D35" s="16">
        <v>111</v>
      </c>
      <c r="E35" s="16">
        <f>'[1]BVC 2022 '!D35</f>
        <v>225</v>
      </c>
      <c r="G35" s="128">
        <f t="shared" si="2"/>
        <v>114</v>
      </c>
      <c r="H35" s="112">
        <f t="shared" si="3"/>
        <v>102.70270270270269</v>
      </c>
    </row>
    <row r="36" spans="1:8" ht="38.25" x14ac:dyDescent="0.25">
      <c r="A36" s="7" t="s">
        <v>15</v>
      </c>
      <c r="B36" s="28"/>
      <c r="C36" s="6" t="s">
        <v>187</v>
      </c>
      <c r="D36" s="16">
        <v>264396</v>
      </c>
      <c r="E36" s="16">
        <f>'[1]BVC 2022 '!D36</f>
        <v>529313</v>
      </c>
      <c r="G36" s="128">
        <f t="shared" si="2"/>
        <v>264917</v>
      </c>
      <c r="H36" s="112">
        <f t="shared" si="3"/>
        <v>100.19705290549025</v>
      </c>
    </row>
    <row r="37" spans="1:8" x14ac:dyDescent="0.25">
      <c r="A37" s="7" t="s">
        <v>325</v>
      </c>
      <c r="B37" s="28"/>
      <c r="C37" s="6" t="s">
        <v>326</v>
      </c>
      <c r="D37" s="16">
        <f>SUM(D38:D40)</f>
        <v>0</v>
      </c>
      <c r="E37" s="16">
        <f t="shared" ref="E37" si="15">SUM(E38:E40)</f>
        <v>29573</v>
      </c>
      <c r="G37" s="128">
        <f t="shared" si="2"/>
        <v>29573</v>
      </c>
      <c r="H37" s="112" t="e">
        <f t="shared" si="3"/>
        <v>#DIV/0!</v>
      </c>
    </row>
    <row r="38" spans="1:8" x14ac:dyDescent="0.25">
      <c r="A38" s="121" t="s">
        <v>327</v>
      </c>
      <c r="B38" s="122"/>
      <c r="C38" s="123" t="s">
        <v>328</v>
      </c>
      <c r="D38" s="86"/>
      <c r="E38" s="86">
        <f>'[1]BVC 2022 '!D38</f>
        <v>25036</v>
      </c>
      <c r="G38" s="128">
        <f t="shared" si="2"/>
        <v>25036</v>
      </c>
      <c r="H38" s="112" t="e">
        <f t="shared" si="3"/>
        <v>#DIV/0!</v>
      </c>
    </row>
    <row r="39" spans="1:8" x14ac:dyDescent="0.25">
      <c r="A39" s="121" t="s">
        <v>329</v>
      </c>
      <c r="B39" s="122"/>
      <c r="C39" s="123" t="s">
        <v>330</v>
      </c>
      <c r="D39" s="86"/>
      <c r="E39" s="86">
        <f>'[1]BVC 2022 '!D39</f>
        <v>0</v>
      </c>
      <c r="G39" s="128">
        <f t="shared" si="2"/>
        <v>0</v>
      </c>
      <c r="H39" s="112" t="e">
        <f t="shared" si="3"/>
        <v>#DIV/0!</v>
      </c>
    </row>
    <row r="40" spans="1:8" x14ac:dyDescent="0.25">
      <c r="A40" s="121" t="s">
        <v>331</v>
      </c>
      <c r="B40" s="122"/>
      <c r="C40" s="123" t="s">
        <v>332</v>
      </c>
      <c r="D40" s="86"/>
      <c r="E40" s="86">
        <f>'[1]BVC 2022 '!D40</f>
        <v>4537</v>
      </c>
      <c r="G40" s="128">
        <f t="shared" si="2"/>
        <v>4537</v>
      </c>
      <c r="H40" s="112" t="e">
        <f t="shared" si="3"/>
        <v>#DIV/0!</v>
      </c>
    </row>
    <row r="41" spans="1:8" ht="25.5" x14ac:dyDescent="0.25">
      <c r="A41" s="4" t="s">
        <v>16</v>
      </c>
      <c r="B41" s="15"/>
      <c r="C41" s="19" t="s">
        <v>188</v>
      </c>
      <c r="D41" s="16">
        <f>D42+D44</f>
        <v>0</v>
      </c>
      <c r="E41" s="16">
        <f t="shared" ref="E41" si="16">E42+E44</f>
        <v>7</v>
      </c>
      <c r="G41" s="128">
        <f t="shared" si="2"/>
        <v>7</v>
      </c>
      <c r="H41" s="112" t="e">
        <f t="shared" si="3"/>
        <v>#DIV/0!</v>
      </c>
    </row>
    <row r="42" spans="1:8" hidden="1" x14ac:dyDescent="0.25">
      <c r="A42" s="4" t="s">
        <v>17</v>
      </c>
      <c r="B42" s="15"/>
      <c r="C42" s="19" t="s">
        <v>189</v>
      </c>
      <c r="D42" s="16">
        <f>SUM(D43:D43)</f>
        <v>0</v>
      </c>
      <c r="E42" s="16">
        <f t="shared" ref="E42" si="17">SUM(E43:E43)</f>
        <v>0</v>
      </c>
      <c r="G42" s="128">
        <f t="shared" si="2"/>
        <v>0</v>
      </c>
      <c r="H42" s="112" t="e">
        <f t="shared" si="3"/>
        <v>#DIV/0!</v>
      </c>
    </row>
    <row r="43" spans="1:8" hidden="1" x14ac:dyDescent="0.25">
      <c r="A43" s="50" t="s">
        <v>18</v>
      </c>
      <c r="B43" s="18"/>
      <c r="C43" s="5" t="s">
        <v>19</v>
      </c>
      <c r="D43" s="17">
        <v>0</v>
      </c>
      <c r="E43" s="86">
        <f>'[1]BVC 2022 '!D43</f>
        <v>0</v>
      </c>
      <c r="G43" s="128">
        <f t="shared" si="2"/>
        <v>0</v>
      </c>
      <c r="H43" s="112" t="e">
        <f t="shared" si="3"/>
        <v>#DIV/0!</v>
      </c>
    </row>
    <row r="44" spans="1:8" x14ac:dyDescent="0.25">
      <c r="A44" s="4" t="s">
        <v>20</v>
      </c>
      <c r="B44" s="15"/>
      <c r="C44" s="19" t="s">
        <v>191</v>
      </c>
      <c r="D44" s="16">
        <f t="shared" ref="D44:E44" si="18">D45</f>
        <v>0</v>
      </c>
      <c r="E44" s="16">
        <f t="shared" si="18"/>
        <v>7</v>
      </c>
      <c r="G44" s="128">
        <f t="shared" si="2"/>
        <v>7</v>
      </c>
      <c r="H44" s="112" t="e">
        <f t="shared" si="3"/>
        <v>#DIV/0!</v>
      </c>
    </row>
    <row r="45" spans="1:8" x14ac:dyDescent="0.25">
      <c r="A45" s="50" t="s">
        <v>310</v>
      </c>
      <c r="B45" s="18"/>
      <c r="C45" s="5" t="s">
        <v>19</v>
      </c>
      <c r="D45" s="17"/>
      <c r="E45" s="86">
        <f>'[1]BVC 2022 '!D45</f>
        <v>7</v>
      </c>
      <c r="G45" s="128">
        <f t="shared" si="2"/>
        <v>7</v>
      </c>
      <c r="H45" s="112" t="e">
        <f t="shared" si="3"/>
        <v>#DIV/0!</v>
      </c>
    </row>
    <row r="46" spans="1:8" ht="25.5" x14ac:dyDescent="0.25">
      <c r="A46" s="4" t="s">
        <v>22</v>
      </c>
      <c r="B46" s="15"/>
      <c r="C46" s="19" t="s">
        <v>192</v>
      </c>
      <c r="D46" s="16">
        <f>D55+D47+D61+D51+D59</f>
        <v>6882</v>
      </c>
      <c r="E46" s="16">
        <f t="shared" ref="E46" si="19">E55+E47+E61+E51+E59</f>
        <v>21315</v>
      </c>
      <c r="G46" s="128">
        <f t="shared" si="2"/>
        <v>14433</v>
      </c>
      <c r="H46" s="112">
        <f t="shared" si="3"/>
        <v>209.72101133391456</v>
      </c>
    </row>
    <row r="47" spans="1:8" x14ac:dyDescent="0.25">
      <c r="A47" s="4" t="s">
        <v>23</v>
      </c>
      <c r="B47" s="15"/>
      <c r="C47" s="2" t="s">
        <v>193</v>
      </c>
      <c r="D47" s="16">
        <f>SUM(D48:D50)</f>
        <v>2231</v>
      </c>
      <c r="E47" s="16">
        <f t="shared" ref="E47" si="20">SUM(E48:E50)</f>
        <v>3008</v>
      </c>
      <c r="G47" s="128">
        <f t="shared" si="2"/>
        <v>777</v>
      </c>
      <c r="H47" s="112">
        <f t="shared" si="3"/>
        <v>34.827431645002243</v>
      </c>
    </row>
    <row r="48" spans="1:8" x14ac:dyDescent="0.25">
      <c r="A48" s="50" t="s">
        <v>24</v>
      </c>
      <c r="B48" s="18"/>
      <c r="C48" s="5" t="s">
        <v>21</v>
      </c>
      <c r="D48" s="17">
        <v>1760</v>
      </c>
      <c r="E48" s="86">
        <f>'[1]BVC 2022 '!D48</f>
        <v>2537</v>
      </c>
      <c r="G48" s="128">
        <f t="shared" si="2"/>
        <v>777</v>
      </c>
      <c r="H48" s="112">
        <f t="shared" si="3"/>
        <v>44.147727272727273</v>
      </c>
    </row>
    <row r="49" spans="1:8" x14ac:dyDescent="0.25">
      <c r="A49" s="50" t="s">
        <v>262</v>
      </c>
      <c r="B49" s="18"/>
      <c r="C49" s="5" t="s">
        <v>261</v>
      </c>
      <c r="D49" s="17">
        <v>471</v>
      </c>
      <c r="E49" s="86">
        <f>'[1]BVC 2022 '!D49</f>
        <v>471</v>
      </c>
      <c r="G49" s="128">
        <f t="shared" si="2"/>
        <v>0</v>
      </c>
      <c r="H49" s="112">
        <f t="shared" si="3"/>
        <v>0</v>
      </c>
    </row>
    <row r="50" spans="1:8" x14ac:dyDescent="0.25">
      <c r="A50" s="50" t="s">
        <v>263</v>
      </c>
      <c r="B50" s="18"/>
      <c r="C50" s="5" t="s">
        <v>190</v>
      </c>
      <c r="D50" s="17"/>
      <c r="E50" s="86">
        <f>'[1]BVC 2022 '!D50</f>
        <v>0</v>
      </c>
      <c r="G50" s="128">
        <f t="shared" si="2"/>
        <v>0</v>
      </c>
      <c r="H50" s="112" t="e">
        <f t="shared" si="3"/>
        <v>#DIV/0!</v>
      </c>
    </row>
    <row r="51" spans="1:8" x14ac:dyDescent="0.25">
      <c r="A51" s="4" t="s">
        <v>284</v>
      </c>
      <c r="B51" s="15"/>
      <c r="C51" s="2" t="s">
        <v>286</v>
      </c>
      <c r="D51" s="16">
        <f>SUM(D52:D54)</f>
        <v>1243</v>
      </c>
      <c r="E51" s="16">
        <f t="shared" ref="E51" si="21">SUM(E52:E54)</f>
        <v>3143</v>
      </c>
      <c r="G51" s="128">
        <f t="shared" si="2"/>
        <v>1900</v>
      </c>
      <c r="H51" s="112">
        <f t="shared" si="3"/>
        <v>152.85599356395815</v>
      </c>
    </row>
    <row r="52" spans="1:8" x14ac:dyDescent="0.25">
      <c r="A52" s="50" t="s">
        <v>285</v>
      </c>
      <c r="B52" s="18"/>
      <c r="C52" s="5" t="s">
        <v>21</v>
      </c>
      <c r="D52" s="17">
        <v>102</v>
      </c>
      <c r="E52" s="86">
        <f>'[1]BVC 2022 '!D52</f>
        <v>1842</v>
      </c>
      <c r="G52" s="128">
        <f t="shared" si="2"/>
        <v>1740</v>
      </c>
      <c r="H52" s="112">
        <f t="shared" si="3"/>
        <v>1705.8823529411764</v>
      </c>
    </row>
    <row r="53" spans="1:8" x14ac:dyDescent="0.25">
      <c r="A53" s="50" t="s">
        <v>296</v>
      </c>
      <c r="B53" s="18"/>
      <c r="C53" s="5" t="s">
        <v>261</v>
      </c>
      <c r="D53" s="17">
        <f>963+178</f>
        <v>1141</v>
      </c>
      <c r="E53" s="86">
        <f>'[1]BVC 2022 '!D53</f>
        <v>1301</v>
      </c>
      <c r="G53" s="128">
        <f t="shared" si="2"/>
        <v>160</v>
      </c>
      <c r="H53" s="112">
        <f t="shared" si="3"/>
        <v>14.022787028921998</v>
      </c>
    </row>
    <row r="54" spans="1:8" x14ac:dyDescent="0.25">
      <c r="A54" s="50" t="s">
        <v>297</v>
      </c>
      <c r="B54" s="18"/>
      <c r="C54" s="5" t="s">
        <v>190</v>
      </c>
      <c r="D54" s="17"/>
      <c r="E54" s="86">
        <f>'[1]BVC 2022 '!D54</f>
        <v>0</v>
      </c>
      <c r="G54" s="128">
        <f t="shared" si="2"/>
        <v>0</v>
      </c>
      <c r="H54" s="112" t="e">
        <f t="shared" si="3"/>
        <v>#DIV/0!</v>
      </c>
    </row>
    <row r="55" spans="1:8" x14ac:dyDescent="0.25">
      <c r="A55" s="4" t="s">
        <v>25</v>
      </c>
      <c r="B55" s="15"/>
      <c r="C55" s="2" t="s">
        <v>26</v>
      </c>
      <c r="D55" s="16">
        <f>SUM(D56:D58)</f>
        <v>3220</v>
      </c>
      <c r="E55" s="16">
        <f t="shared" ref="E55" si="22">SUM(E56:E58)</f>
        <v>4980</v>
      </c>
      <c r="G55" s="128">
        <f t="shared" si="2"/>
        <v>1760</v>
      </c>
      <c r="H55" s="112">
        <f t="shared" si="3"/>
        <v>54.658385093167702</v>
      </c>
    </row>
    <row r="56" spans="1:8" x14ac:dyDescent="0.25">
      <c r="A56" s="50" t="s">
        <v>287</v>
      </c>
      <c r="B56" s="18"/>
      <c r="C56" s="5" t="s">
        <v>21</v>
      </c>
      <c r="D56" s="17"/>
      <c r="E56" s="86">
        <f>'[1]BVC 2022 '!D56</f>
        <v>0</v>
      </c>
      <c r="G56" s="128">
        <f t="shared" si="2"/>
        <v>0</v>
      </c>
      <c r="H56" s="112" t="e">
        <f t="shared" si="3"/>
        <v>#DIV/0!</v>
      </c>
    </row>
    <row r="57" spans="1:8" x14ac:dyDescent="0.25">
      <c r="A57" s="50" t="s">
        <v>288</v>
      </c>
      <c r="B57" s="18"/>
      <c r="C57" s="5" t="s">
        <v>261</v>
      </c>
      <c r="D57" s="17">
        <f>3221-1</f>
        <v>3220</v>
      </c>
      <c r="E57" s="86">
        <f>'[1]BVC 2022 '!D57</f>
        <v>4980</v>
      </c>
      <c r="G57" s="128">
        <f t="shared" si="2"/>
        <v>1760</v>
      </c>
      <c r="H57" s="112">
        <f t="shared" si="3"/>
        <v>54.658385093167702</v>
      </c>
    </row>
    <row r="58" spans="1:8" x14ac:dyDescent="0.25">
      <c r="A58" s="50" t="s">
        <v>27</v>
      </c>
      <c r="B58" s="18"/>
      <c r="C58" s="5" t="s">
        <v>190</v>
      </c>
      <c r="D58" s="17"/>
      <c r="E58" s="86">
        <f>'[1]BVC 2022 '!D58</f>
        <v>0</v>
      </c>
      <c r="G58" s="128">
        <f t="shared" si="2"/>
        <v>0</v>
      </c>
      <c r="H58" s="112" t="e">
        <f t="shared" si="3"/>
        <v>#DIV/0!</v>
      </c>
    </row>
    <row r="59" spans="1:8" x14ac:dyDescent="0.25">
      <c r="A59" s="92" t="s">
        <v>305</v>
      </c>
      <c r="B59" s="93"/>
      <c r="C59" s="94" t="s">
        <v>299</v>
      </c>
      <c r="D59" s="16">
        <f>SUM(D60)</f>
        <v>188</v>
      </c>
      <c r="E59" s="16">
        <f t="shared" ref="E59" si="23">SUM(E60)</f>
        <v>381</v>
      </c>
      <c r="G59" s="128">
        <f t="shared" si="2"/>
        <v>193</v>
      </c>
      <c r="H59" s="112">
        <f t="shared" si="3"/>
        <v>102.65957446808511</v>
      </c>
    </row>
    <row r="60" spans="1:8" x14ac:dyDescent="0.25">
      <c r="A60" s="105" t="s">
        <v>306</v>
      </c>
      <c r="B60" s="106"/>
      <c r="C60" s="107" t="s">
        <v>190</v>
      </c>
      <c r="D60" s="17">
        <f>189-1</f>
        <v>188</v>
      </c>
      <c r="E60" s="86">
        <f>'[1]BVC 2022 '!D60</f>
        <v>381</v>
      </c>
      <c r="G60" s="128">
        <f t="shared" si="2"/>
        <v>193</v>
      </c>
      <c r="H60" s="112">
        <f t="shared" si="3"/>
        <v>102.65957446808511</v>
      </c>
    </row>
    <row r="61" spans="1:8" x14ac:dyDescent="0.25">
      <c r="A61" s="4" t="s">
        <v>28</v>
      </c>
      <c r="B61" s="15"/>
      <c r="C61" s="2" t="s">
        <v>191</v>
      </c>
      <c r="D61" s="16">
        <f>SUM(D62:D64)</f>
        <v>0</v>
      </c>
      <c r="E61" s="16">
        <f t="shared" ref="E61" si="24">SUM(E62:E64)</f>
        <v>9803</v>
      </c>
      <c r="G61" s="128">
        <f t="shared" si="2"/>
        <v>9803</v>
      </c>
      <c r="H61" s="112" t="e">
        <f t="shared" si="3"/>
        <v>#DIV/0!</v>
      </c>
    </row>
    <row r="62" spans="1:8" x14ac:dyDescent="0.25">
      <c r="A62" s="50" t="s">
        <v>289</v>
      </c>
      <c r="B62" s="18"/>
      <c r="C62" s="5" t="s">
        <v>21</v>
      </c>
      <c r="D62" s="29"/>
      <c r="E62" s="86">
        <f>'[1]BVC 2022 '!D62</f>
        <v>120</v>
      </c>
      <c r="G62" s="128">
        <f t="shared" si="2"/>
        <v>120</v>
      </c>
      <c r="H62" s="112" t="e">
        <f t="shared" si="3"/>
        <v>#DIV/0!</v>
      </c>
    </row>
    <row r="63" spans="1:8" x14ac:dyDescent="0.25">
      <c r="A63" s="50" t="s">
        <v>298</v>
      </c>
      <c r="B63" s="18"/>
      <c r="C63" s="5" t="s">
        <v>261</v>
      </c>
      <c r="D63" s="17"/>
      <c r="E63" s="86">
        <f>'[1]BVC 2022 '!D63</f>
        <v>9665</v>
      </c>
      <c r="G63" s="128">
        <f t="shared" si="2"/>
        <v>9665</v>
      </c>
      <c r="H63" s="112" t="e">
        <f t="shared" si="3"/>
        <v>#DIV/0!</v>
      </c>
    </row>
    <row r="64" spans="1:8" x14ac:dyDescent="0.25">
      <c r="A64" s="50" t="s">
        <v>29</v>
      </c>
      <c r="B64" s="18"/>
      <c r="C64" s="5" t="s">
        <v>190</v>
      </c>
      <c r="D64" s="17"/>
      <c r="E64" s="86">
        <f>'[1]BVC 2022 '!D64</f>
        <v>18</v>
      </c>
      <c r="G64" s="128">
        <f t="shared" si="2"/>
        <v>18</v>
      </c>
      <c r="H64" s="112" t="e">
        <f t="shared" si="3"/>
        <v>#DIV/0!</v>
      </c>
    </row>
    <row r="65" spans="1:8" x14ac:dyDescent="0.25">
      <c r="A65" s="24"/>
      <c r="B65" s="24"/>
      <c r="C65" s="13" t="s">
        <v>31</v>
      </c>
      <c r="D65" s="14"/>
      <c r="E65" s="14"/>
      <c r="G65" s="128">
        <f t="shared" si="2"/>
        <v>0</v>
      </c>
      <c r="H65" s="112" t="e">
        <f t="shared" si="3"/>
        <v>#DIV/0!</v>
      </c>
    </row>
    <row r="66" spans="1:8" x14ac:dyDescent="0.25">
      <c r="A66" s="24"/>
      <c r="B66" s="24" t="s">
        <v>194</v>
      </c>
      <c r="C66" s="13" t="s">
        <v>195</v>
      </c>
      <c r="D66" s="14">
        <f>D69+D96</f>
        <v>2183321</v>
      </c>
      <c r="E66" s="14">
        <f t="shared" ref="E66:E67" si="25">E69+E96</f>
        <v>5409834</v>
      </c>
      <c r="G66" s="128">
        <f t="shared" si="2"/>
        <v>3226513</v>
      </c>
      <c r="H66" s="112">
        <f t="shared" si="3"/>
        <v>147.78005616214932</v>
      </c>
    </row>
    <row r="67" spans="1:8" x14ac:dyDescent="0.25">
      <c r="A67" s="24"/>
      <c r="B67" s="24" t="s">
        <v>196</v>
      </c>
      <c r="C67" s="13" t="s">
        <v>197</v>
      </c>
      <c r="D67" s="14">
        <f>D70+D97</f>
        <v>989378</v>
      </c>
      <c r="E67" s="14">
        <f t="shared" si="25"/>
        <v>1877252</v>
      </c>
      <c r="G67" s="128">
        <f t="shared" si="2"/>
        <v>887874</v>
      </c>
      <c r="H67" s="112">
        <f t="shared" si="3"/>
        <v>89.740624917877696</v>
      </c>
    </row>
    <row r="68" spans="1:8" x14ac:dyDescent="0.25">
      <c r="A68" s="15"/>
      <c r="B68" s="15" t="s">
        <v>32</v>
      </c>
      <c r="C68" s="41" t="s">
        <v>33</v>
      </c>
      <c r="D68" s="16"/>
      <c r="E68" s="16"/>
      <c r="G68" s="128">
        <f t="shared" si="2"/>
        <v>0</v>
      </c>
      <c r="H68" s="112" t="e">
        <f t="shared" si="3"/>
        <v>#DIV/0!</v>
      </c>
    </row>
    <row r="69" spans="1:8" x14ac:dyDescent="0.25">
      <c r="A69" s="15"/>
      <c r="B69" s="15" t="s">
        <v>194</v>
      </c>
      <c r="C69" s="25" t="s">
        <v>195</v>
      </c>
      <c r="D69" s="16">
        <f>D72+D75+D78+D81+D84+D87+D90+D93+D533</f>
        <v>2056782</v>
      </c>
      <c r="E69" s="16">
        <f t="shared" ref="E69:E70" si="26">E72+E75+E78+E81+E84+E87+E90+E93</f>
        <v>4870769</v>
      </c>
      <c r="G69" s="128">
        <f t="shared" si="2"/>
        <v>2813987</v>
      </c>
      <c r="H69" s="112">
        <f t="shared" si="3"/>
        <v>136.81503435949944</v>
      </c>
    </row>
    <row r="70" spans="1:8" x14ac:dyDescent="0.25">
      <c r="A70" s="15"/>
      <c r="B70" s="15" t="s">
        <v>196</v>
      </c>
      <c r="C70" s="25" t="s">
        <v>197</v>
      </c>
      <c r="D70" s="16">
        <f>D73+D76+D79+D82+D85+D88+D91+D94+D533</f>
        <v>903615</v>
      </c>
      <c r="E70" s="16">
        <f t="shared" si="26"/>
        <v>1653805</v>
      </c>
      <c r="G70" s="128">
        <f t="shared" si="2"/>
        <v>750190</v>
      </c>
      <c r="H70" s="112">
        <f t="shared" si="3"/>
        <v>83.020976854080558</v>
      </c>
    </row>
    <row r="71" spans="1:8" x14ac:dyDescent="0.25">
      <c r="A71" s="15"/>
      <c r="B71" s="15">
        <v>10</v>
      </c>
      <c r="C71" s="2" t="s">
        <v>34</v>
      </c>
      <c r="D71" s="16"/>
      <c r="E71" s="16"/>
      <c r="G71" s="128">
        <f t="shared" si="2"/>
        <v>0</v>
      </c>
      <c r="H71" s="112" t="e">
        <f t="shared" si="3"/>
        <v>#DIV/0!</v>
      </c>
    </row>
    <row r="72" spans="1:8" x14ac:dyDescent="0.25">
      <c r="A72" s="15"/>
      <c r="B72" s="15" t="s">
        <v>194</v>
      </c>
      <c r="C72" s="25" t="s">
        <v>195</v>
      </c>
      <c r="D72" s="16">
        <f t="shared" ref="D72:E73" si="27">D111</f>
        <v>496101</v>
      </c>
      <c r="E72" s="16">
        <f t="shared" si="27"/>
        <v>667203</v>
      </c>
      <c r="G72" s="128">
        <f t="shared" si="2"/>
        <v>171102</v>
      </c>
      <c r="H72" s="112">
        <f t="shared" si="3"/>
        <v>34.48934793519868</v>
      </c>
    </row>
    <row r="73" spans="1:8" x14ac:dyDescent="0.25">
      <c r="A73" s="15"/>
      <c r="B73" s="15" t="s">
        <v>196</v>
      </c>
      <c r="C73" s="25" t="s">
        <v>197</v>
      </c>
      <c r="D73" s="16">
        <f t="shared" si="27"/>
        <v>427264</v>
      </c>
      <c r="E73" s="16">
        <f t="shared" si="27"/>
        <v>667203</v>
      </c>
      <c r="G73" s="128">
        <f t="shared" si="2"/>
        <v>239939</v>
      </c>
      <c r="H73" s="112">
        <f t="shared" si="3"/>
        <v>56.157083208508084</v>
      </c>
    </row>
    <row r="74" spans="1:8" x14ac:dyDescent="0.25">
      <c r="A74" s="15"/>
      <c r="B74" s="15">
        <v>20</v>
      </c>
      <c r="C74" s="2" t="s">
        <v>198</v>
      </c>
      <c r="D74" s="16"/>
      <c r="E74" s="16"/>
      <c r="G74" s="128">
        <f t="shared" ref="G74:G137" si="28">E74-D74</f>
        <v>0</v>
      </c>
      <c r="H74" s="112" t="e">
        <f t="shared" ref="H74:H137" si="29">G74/D74*100</f>
        <v>#DIV/0!</v>
      </c>
    </row>
    <row r="75" spans="1:8" x14ac:dyDescent="0.25">
      <c r="A75" s="15"/>
      <c r="B75" s="15" t="s">
        <v>194</v>
      </c>
      <c r="C75" s="25" t="s">
        <v>195</v>
      </c>
      <c r="D75" s="16">
        <f>D174+D417+D495</f>
        <v>209533</v>
      </c>
      <c r="E75" s="16">
        <f>E174+E417+E495</f>
        <v>364531</v>
      </c>
      <c r="G75" s="128">
        <f t="shared" si="28"/>
        <v>154998</v>
      </c>
      <c r="H75" s="112">
        <f t="shared" si="29"/>
        <v>73.973073453823503</v>
      </c>
    </row>
    <row r="76" spans="1:8" x14ac:dyDescent="0.25">
      <c r="A76" s="15"/>
      <c r="B76" s="15" t="s">
        <v>196</v>
      </c>
      <c r="C76" s="25" t="s">
        <v>197</v>
      </c>
      <c r="D76" s="16">
        <f>D175+D418+D496</f>
        <v>180974</v>
      </c>
      <c r="E76" s="16">
        <f>E175+E418+E496</f>
        <v>364531</v>
      </c>
      <c r="G76" s="128">
        <f t="shared" si="28"/>
        <v>183557</v>
      </c>
      <c r="H76" s="112">
        <f t="shared" si="29"/>
        <v>101.42727684639783</v>
      </c>
    </row>
    <row r="77" spans="1:8" ht="25.5" x14ac:dyDescent="0.25">
      <c r="A77" s="15"/>
      <c r="B77" s="15">
        <v>56</v>
      </c>
      <c r="C77" s="2" t="s">
        <v>199</v>
      </c>
      <c r="D77" s="16"/>
      <c r="E77" s="16"/>
      <c r="G77" s="128">
        <f t="shared" si="28"/>
        <v>0</v>
      </c>
      <c r="H77" s="112" t="e">
        <f t="shared" si="29"/>
        <v>#DIV/0!</v>
      </c>
    </row>
    <row r="78" spans="1:8" x14ac:dyDescent="0.25">
      <c r="A78" s="15"/>
      <c r="B78" s="15" t="s">
        <v>194</v>
      </c>
      <c r="C78" s="25" t="s">
        <v>195</v>
      </c>
      <c r="D78" s="16">
        <f>D516</f>
        <v>0</v>
      </c>
      <c r="E78" s="16">
        <f t="shared" ref="E78:E79" si="30">E516</f>
        <v>7</v>
      </c>
      <c r="G78" s="128">
        <f t="shared" si="28"/>
        <v>7</v>
      </c>
      <c r="H78" s="112" t="e">
        <f t="shared" si="29"/>
        <v>#DIV/0!</v>
      </c>
    </row>
    <row r="79" spans="1:8" x14ac:dyDescent="0.25">
      <c r="A79" s="15"/>
      <c r="B79" s="15" t="s">
        <v>196</v>
      </c>
      <c r="C79" s="25" t="s">
        <v>197</v>
      </c>
      <c r="D79" s="16">
        <f>D517</f>
        <v>0</v>
      </c>
      <c r="E79" s="16">
        <f t="shared" si="30"/>
        <v>7</v>
      </c>
      <c r="G79" s="128">
        <f t="shared" si="28"/>
        <v>7</v>
      </c>
      <c r="H79" s="112" t="e">
        <f t="shared" si="29"/>
        <v>#DIV/0!</v>
      </c>
    </row>
    <row r="80" spans="1:8" hidden="1" x14ac:dyDescent="0.25">
      <c r="A80" s="15"/>
      <c r="B80" s="15">
        <v>57</v>
      </c>
      <c r="C80" s="2" t="s">
        <v>271</v>
      </c>
      <c r="D80" s="16"/>
      <c r="E80" s="16"/>
      <c r="G80" s="128">
        <f t="shared" si="28"/>
        <v>0</v>
      </c>
      <c r="H80" s="112" t="e">
        <f t="shared" si="29"/>
        <v>#DIV/0!</v>
      </c>
    </row>
    <row r="81" spans="1:8" hidden="1" x14ac:dyDescent="0.25">
      <c r="A81" s="15"/>
      <c r="B81" s="15" t="s">
        <v>194</v>
      </c>
      <c r="C81" s="25" t="s">
        <v>195</v>
      </c>
      <c r="D81" s="16">
        <f>D309</f>
        <v>0</v>
      </c>
      <c r="E81" s="16">
        <f t="shared" ref="E81:E82" si="31">E309</f>
        <v>0</v>
      </c>
      <c r="G81" s="128">
        <f t="shared" si="28"/>
        <v>0</v>
      </c>
      <c r="H81" s="112" t="e">
        <f t="shared" si="29"/>
        <v>#DIV/0!</v>
      </c>
    </row>
    <row r="82" spans="1:8" hidden="1" x14ac:dyDescent="0.25">
      <c r="A82" s="15"/>
      <c r="B82" s="15" t="s">
        <v>196</v>
      </c>
      <c r="C82" s="25" t="s">
        <v>197</v>
      </c>
      <c r="D82" s="16">
        <f>D310</f>
        <v>0</v>
      </c>
      <c r="E82" s="16">
        <f t="shared" si="31"/>
        <v>0</v>
      </c>
      <c r="G82" s="128">
        <f t="shared" si="28"/>
        <v>0</v>
      </c>
      <c r="H82" s="112" t="e">
        <f t="shared" si="29"/>
        <v>#DIV/0!</v>
      </c>
    </row>
    <row r="83" spans="1:8" ht="38.25" x14ac:dyDescent="0.25">
      <c r="A83" s="15"/>
      <c r="B83" s="15" t="s">
        <v>35</v>
      </c>
      <c r="C83" s="2" t="s">
        <v>200</v>
      </c>
      <c r="D83" s="16"/>
      <c r="E83" s="16"/>
      <c r="G83" s="128">
        <f t="shared" si="28"/>
        <v>0</v>
      </c>
      <c r="H83" s="112" t="e">
        <f t="shared" si="29"/>
        <v>#DIV/0!</v>
      </c>
    </row>
    <row r="84" spans="1:8" x14ac:dyDescent="0.25">
      <c r="A84" s="15"/>
      <c r="B84" s="15" t="s">
        <v>194</v>
      </c>
      <c r="C84" s="25" t="s">
        <v>195</v>
      </c>
      <c r="D84" s="16">
        <f>D318+D426+D525</f>
        <v>1344530</v>
      </c>
      <c r="E84" s="16">
        <f>E318+E426+E525</f>
        <v>3419693</v>
      </c>
      <c r="G84" s="128">
        <f t="shared" si="28"/>
        <v>2075163</v>
      </c>
      <c r="H84" s="112">
        <f t="shared" si="29"/>
        <v>154.34114523290668</v>
      </c>
    </row>
    <row r="85" spans="1:8" x14ac:dyDescent="0.25">
      <c r="A85" s="15"/>
      <c r="B85" s="15" t="s">
        <v>196</v>
      </c>
      <c r="C85" s="25" t="s">
        <v>197</v>
      </c>
      <c r="D85" s="16">
        <f>D319+D427+D526</f>
        <v>268054</v>
      </c>
      <c r="E85" s="16">
        <f>E319+E427+E526</f>
        <v>545896</v>
      </c>
      <c r="G85" s="128">
        <f t="shared" si="28"/>
        <v>277842</v>
      </c>
      <c r="H85" s="112">
        <f t="shared" si="29"/>
        <v>103.65150305535451</v>
      </c>
    </row>
    <row r="86" spans="1:8" x14ac:dyDescent="0.25">
      <c r="A86" s="15"/>
      <c r="B86" s="15" t="s">
        <v>36</v>
      </c>
      <c r="C86" s="2" t="s">
        <v>37</v>
      </c>
      <c r="D86" s="16"/>
      <c r="E86" s="16"/>
      <c r="G86" s="128">
        <f t="shared" si="28"/>
        <v>0</v>
      </c>
      <c r="H86" s="112" t="e">
        <f t="shared" si="29"/>
        <v>#DIV/0!</v>
      </c>
    </row>
    <row r="87" spans="1:8" x14ac:dyDescent="0.25">
      <c r="A87" s="15"/>
      <c r="B87" s="15" t="s">
        <v>194</v>
      </c>
      <c r="C87" s="25" t="s">
        <v>195</v>
      </c>
      <c r="D87" s="16">
        <f t="shared" ref="D87:E88" si="32">D375</f>
        <v>5538</v>
      </c>
      <c r="E87" s="16">
        <f t="shared" si="32"/>
        <v>8095</v>
      </c>
      <c r="G87" s="128">
        <f t="shared" si="28"/>
        <v>2557</v>
      </c>
      <c r="H87" s="112">
        <f t="shared" si="29"/>
        <v>46.171903214156735</v>
      </c>
    </row>
    <row r="88" spans="1:8" x14ac:dyDescent="0.25">
      <c r="A88" s="15"/>
      <c r="B88" s="15" t="s">
        <v>196</v>
      </c>
      <c r="C88" s="25" t="s">
        <v>197</v>
      </c>
      <c r="D88" s="16">
        <f t="shared" si="32"/>
        <v>5076</v>
      </c>
      <c r="E88" s="16">
        <f t="shared" si="32"/>
        <v>8095</v>
      </c>
      <c r="G88" s="128">
        <f t="shared" si="28"/>
        <v>3019</v>
      </c>
      <c r="H88" s="112">
        <f t="shared" si="29"/>
        <v>59.475965327029158</v>
      </c>
    </row>
    <row r="89" spans="1:8" ht="25.5" x14ac:dyDescent="0.25">
      <c r="A89" s="15"/>
      <c r="B89" s="15">
        <v>61</v>
      </c>
      <c r="C89" s="2" t="s">
        <v>333</v>
      </c>
      <c r="D89" s="16"/>
      <c r="E89" s="16"/>
      <c r="G89" s="128">
        <f t="shared" si="28"/>
        <v>0</v>
      </c>
      <c r="H89" s="112" t="e">
        <f t="shared" si="29"/>
        <v>#DIV/0!</v>
      </c>
    </row>
    <row r="90" spans="1:8" x14ac:dyDescent="0.25">
      <c r="A90" s="15"/>
      <c r="B90" s="15" t="s">
        <v>194</v>
      </c>
      <c r="C90" s="25" t="s">
        <v>195</v>
      </c>
      <c r="D90" s="16">
        <f>D453</f>
        <v>0</v>
      </c>
      <c r="E90" s="16">
        <f>E453</f>
        <v>355334</v>
      </c>
      <c r="G90" s="128">
        <f t="shared" si="28"/>
        <v>355334</v>
      </c>
      <c r="H90" s="112" t="e">
        <f t="shared" si="29"/>
        <v>#DIV/0!</v>
      </c>
    </row>
    <row r="91" spans="1:8" x14ac:dyDescent="0.25">
      <c r="A91" s="15"/>
      <c r="B91" s="15" t="s">
        <v>196</v>
      </c>
      <c r="C91" s="25" t="s">
        <v>197</v>
      </c>
      <c r="D91" s="16">
        <f>D454</f>
        <v>0</v>
      </c>
      <c r="E91" s="16">
        <f>E454</f>
        <v>29573</v>
      </c>
      <c r="G91" s="128">
        <f t="shared" si="28"/>
        <v>29573</v>
      </c>
      <c r="H91" s="112" t="e">
        <f t="shared" si="29"/>
        <v>#DIV/0!</v>
      </c>
    </row>
    <row r="92" spans="1:8" ht="25.5" x14ac:dyDescent="0.25">
      <c r="A92" s="26"/>
      <c r="B92" s="26">
        <v>65</v>
      </c>
      <c r="C92" s="2" t="s">
        <v>201</v>
      </c>
      <c r="D92" s="16"/>
      <c r="E92" s="16"/>
      <c r="G92" s="128">
        <f t="shared" si="28"/>
        <v>0</v>
      </c>
      <c r="H92" s="112" t="e">
        <f t="shared" si="29"/>
        <v>#DIV/0!</v>
      </c>
    </row>
    <row r="93" spans="1:8" x14ac:dyDescent="0.25">
      <c r="A93" s="26"/>
      <c r="B93" s="15" t="s">
        <v>194</v>
      </c>
      <c r="C93" s="25" t="s">
        <v>195</v>
      </c>
      <c r="D93" s="16">
        <f>D465</f>
        <v>5861</v>
      </c>
      <c r="E93" s="16">
        <f t="shared" ref="E93:E94" si="33">E465</f>
        <v>55906</v>
      </c>
      <c r="G93" s="128">
        <f t="shared" si="28"/>
        <v>50045</v>
      </c>
      <c r="H93" s="112">
        <f t="shared" si="29"/>
        <v>853.86452823750221</v>
      </c>
    </row>
    <row r="94" spans="1:8" x14ac:dyDescent="0.25">
      <c r="A94" s="26"/>
      <c r="B94" s="15" t="s">
        <v>196</v>
      </c>
      <c r="C94" s="25" t="s">
        <v>197</v>
      </c>
      <c r="D94" s="16">
        <f>D466</f>
        <v>27028</v>
      </c>
      <c r="E94" s="16">
        <f t="shared" si="33"/>
        <v>38500</v>
      </c>
      <c r="G94" s="128">
        <f t="shared" si="28"/>
        <v>11472</v>
      </c>
      <c r="H94" s="112">
        <f t="shared" si="29"/>
        <v>42.444871984608554</v>
      </c>
    </row>
    <row r="95" spans="1:8" x14ac:dyDescent="0.25">
      <c r="A95" s="15"/>
      <c r="B95" s="15">
        <v>70</v>
      </c>
      <c r="C95" s="25" t="s">
        <v>38</v>
      </c>
      <c r="D95" s="16"/>
      <c r="E95" s="16"/>
      <c r="G95" s="128">
        <f t="shared" si="28"/>
        <v>0</v>
      </c>
      <c r="H95" s="112" t="e">
        <f t="shared" si="29"/>
        <v>#DIV/0!</v>
      </c>
    </row>
    <row r="96" spans="1:8" x14ac:dyDescent="0.25">
      <c r="A96" s="15"/>
      <c r="B96" s="15" t="s">
        <v>194</v>
      </c>
      <c r="C96" s="25" t="s">
        <v>195</v>
      </c>
      <c r="D96" s="16">
        <f>D384+D471+D501</f>
        <v>126539</v>
      </c>
      <c r="E96" s="16">
        <f>E384+E471+E501</f>
        <v>539065</v>
      </c>
      <c r="G96" s="128">
        <f t="shared" si="28"/>
        <v>412526</v>
      </c>
      <c r="H96" s="112">
        <f t="shared" si="29"/>
        <v>326.00700179391333</v>
      </c>
    </row>
    <row r="97" spans="1:8" x14ac:dyDescent="0.25">
      <c r="A97" s="15"/>
      <c r="B97" s="15" t="s">
        <v>196</v>
      </c>
      <c r="C97" s="25" t="s">
        <v>197</v>
      </c>
      <c r="D97" s="16">
        <f>D385+D472+D502</f>
        <v>85763</v>
      </c>
      <c r="E97" s="16">
        <f>E385+E472+E502</f>
        <v>223447</v>
      </c>
      <c r="G97" s="128">
        <f t="shared" si="28"/>
        <v>137684</v>
      </c>
      <c r="H97" s="112">
        <f t="shared" si="29"/>
        <v>160.54009304711823</v>
      </c>
    </row>
    <row r="98" spans="1:8" x14ac:dyDescent="0.25">
      <c r="A98" s="24"/>
      <c r="B98" s="24"/>
      <c r="C98" s="83" t="s">
        <v>39</v>
      </c>
      <c r="D98" s="14"/>
      <c r="E98" s="14"/>
      <c r="G98" s="128">
        <f t="shared" si="28"/>
        <v>0</v>
      </c>
      <c r="H98" s="112" t="e">
        <f t="shared" si="29"/>
        <v>#DIV/0!</v>
      </c>
    </row>
    <row r="99" spans="1:8" x14ac:dyDescent="0.25">
      <c r="A99" s="24"/>
      <c r="B99" s="24" t="s">
        <v>194</v>
      </c>
      <c r="C99" s="83" t="s">
        <v>195</v>
      </c>
      <c r="D99" s="14">
        <f>D102+D408+D507</f>
        <v>2183321</v>
      </c>
      <c r="E99" s="14">
        <f>E102+E408+E507</f>
        <v>5409834</v>
      </c>
      <c r="G99" s="128">
        <f t="shared" si="28"/>
        <v>3226513</v>
      </c>
      <c r="H99" s="112">
        <f t="shared" si="29"/>
        <v>147.78005616214932</v>
      </c>
    </row>
    <row r="100" spans="1:8" x14ac:dyDescent="0.25">
      <c r="A100" s="24"/>
      <c r="B100" s="24" t="s">
        <v>196</v>
      </c>
      <c r="C100" s="83" t="s">
        <v>197</v>
      </c>
      <c r="D100" s="14">
        <f>D103+D409+D508</f>
        <v>989378</v>
      </c>
      <c r="E100" s="14">
        <f>E103+E409+E508</f>
        <v>1877252</v>
      </c>
      <c r="G100" s="128">
        <f t="shared" si="28"/>
        <v>887874</v>
      </c>
      <c r="H100" s="112">
        <f t="shared" si="29"/>
        <v>89.740624917877696</v>
      </c>
    </row>
    <row r="101" spans="1:8" x14ac:dyDescent="0.25">
      <c r="A101" s="15" t="s">
        <v>30</v>
      </c>
      <c r="B101" s="15"/>
      <c r="C101" s="25" t="s">
        <v>40</v>
      </c>
      <c r="D101" s="16"/>
      <c r="E101" s="16"/>
      <c r="G101" s="128">
        <f t="shared" si="28"/>
        <v>0</v>
      </c>
      <c r="H101" s="112" t="e">
        <f t="shared" si="29"/>
        <v>#DIV/0!</v>
      </c>
    </row>
    <row r="102" spans="1:8" x14ac:dyDescent="0.25">
      <c r="A102" s="15"/>
      <c r="B102" s="15" t="s">
        <v>194</v>
      </c>
      <c r="C102" s="25" t="s">
        <v>195</v>
      </c>
      <c r="D102" s="16">
        <f t="shared" ref="D102:E103" si="34">D105</f>
        <v>735445</v>
      </c>
      <c r="E102" s="16">
        <f t="shared" si="34"/>
        <v>1164323</v>
      </c>
      <c r="G102" s="128">
        <f t="shared" si="28"/>
        <v>428878</v>
      </c>
      <c r="H102" s="112">
        <f t="shared" si="29"/>
        <v>58.315441671369037</v>
      </c>
    </row>
    <row r="103" spans="1:8" x14ac:dyDescent="0.25">
      <c r="A103" s="15"/>
      <c r="B103" s="15" t="s">
        <v>196</v>
      </c>
      <c r="C103" s="25" t="s">
        <v>197</v>
      </c>
      <c r="D103" s="16">
        <f>D106</f>
        <v>627492</v>
      </c>
      <c r="E103" s="16">
        <f t="shared" si="34"/>
        <v>1147027</v>
      </c>
      <c r="G103" s="128">
        <f t="shared" si="28"/>
        <v>519535</v>
      </c>
      <c r="H103" s="112">
        <f t="shared" si="29"/>
        <v>82.795477870634201</v>
      </c>
    </row>
    <row r="104" spans="1:8" x14ac:dyDescent="0.25">
      <c r="A104" s="15" t="s">
        <v>30</v>
      </c>
      <c r="B104" s="15" t="s">
        <v>41</v>
      </c>
      <c r="C104" s="25" t="s">
        <v>202</v>
      </c>
      <c r="D104" s="16"/>
      <c r="E104" s="16"/>
      <c r="G104" s="128">
        <f t="shared" si="28"/>
        <v>0</v>
      </c>
      <c r="H104" s="112" t="e">
        <f t="shared" si="29"/>
        <v>#DIV/0!</v>
      </c>
    </row>
    <row r="105" spans="1:8" x14ac:dyDescent="0.25">
      <c r="A105" s="15"/>
      <c r="B105" s="15" t="s">
        <v>194</v>
      </c>
      <c r="C105" s="25" t="s">
        <v>195</v>
      </c>
      <c r="D105" s="16">
        <f>D108+D384</f>
        <v>735445</v>
      </c>
      <c r="E105" s="16">
        <f t="shared" ref="E105:E106" si="35">E108+E384</f>
        <v>1164323</v>
      </c>
      <c r="G105" s="128">
        <f t="shared" si="28"/>
        <v>428878</v>
      </c>
      <c r="H105" s="112">
        <f t="shared" si="29"/>
        <v>58.315441671369037</v>
      </c>
    </row>
    <row r="106" spans="1:8" x14ac:dyDescent="0.25">
      <c r="A106" s="15"/>
      <c r="B106" s="15" t="s">
        <v>196</v>
      </c>
      <c r="C106" s="25" t="s">
        <v>197</v>
      </c>
      <c r="D106" s="16">
        <f>D109+D385</f>
        <v>627492</v>
      </c>
      <c r="E106" s="16">
        <f t="shared" si="35"/>
        <v>1147027</v>
      </c>
      <c r="G106" s="128">
        <f t="shared" si="28"/>
        <v>519535</v>
      </c>
      <c r="H106" s="112">
        <f t="shared" si="29"/>
        <v>82.795477870634201</v>
      </c>
    </row>
    <row r="107" spans="1:8" x14ac:dyDescent="0.25">
      <c r="A107" s="15" t="s">
        <v>30</v>
      </c>
      <c r="B107" s="15" t="s">
        <v>32</v>
      </c>
      <c r="C107" s="25" t="s">
        <v>33</v>
      </c>
      <c r="D107" s="16"/>
      <c r="E107" s="16"/>
      <c r="G107" s="128">
        <f t="shared" si="28"/>
        <v>0</v>
      </c>
      <c r="H107" s="112" t="e">
        <f t="shared" si="29"/>
        <v>#DIV/0!</v>
      </c>
    </row>
    <row r="108" spans="1:8" x14ac:dyDescent="0.25">
      <c r="A108" s="15"/>
      <c r="B108" s="15" t="s">
        <v>194</v>
      </c>
      <c r="C108" s="25" t="s">
        <v>195</v>
      </c>
      <c r="D108" s="16">
        <f>D111+D174+D309+D318+D375+D533</f>
        <v>708376</v>
      </c>
      <c r="E108" s="16">
        <f t="shared" ref="E108:E109" si="36">E111+E174+E309+E318+E375</f>
        <v>1044632</v>
      </c>
      <c r="G108" s="128">
        <f t="shared" si="28"/>
        <v>336256</v>
      </c>
      <c r="H108" s="112">
        <f t="shared" si="29"/>
        <v>47.468576010480312</v>
      </c>
    </row>
    <row r="109" spans="1:8" x14ac:dyDescent="0.25">
      <c r="A109" s="15"/>
      <c r="B109" s="15" t="s">
        <v>196</v>
      </c>
      <c r="C109" s="25" t="s">
        <v>197</v>
      </c>
      <c r="D109" s="16">
        <f>D112+D175+D310+D319+D376+D533</f>
        <v>611655</v>
      </c>
      <c r="E109" s="16">
        <f t="shared" si="36"/>
        <v>1046130</v>
      </c>
      <c r="G109" s="128">
        <f t="shared" si="28"/>
        <v>434475</v>
      </c>
      <c r="H109" s="112">
        <f t="shared" si="29"/>
        <v>71.032689996811925</v>
      </c>
    </row>
    <row r="110" spans="1:8" x14ac:dyDescent="0.25">
      <c r="A110" s="15" t="s">
        <v>30</v>
      </c>
      <c r="B110" s="15">
        <v>10</v>
      </c>
      <c r="C110" s="25" t="s">
        <v>34</v>
      </c>
      <c r="D110" s="16"/>
      <c r="E110" s="16"/>
      <c r="G110" s="128">
        <f t="shared" si="28"/>
        <v>0</v>
      </c>
      <c r="H110" s="112" t="e">
        <f t="shared" si="29"/>
        <v>#DIV/0!</v>
      </c>
    </row>
    <row r="111" spans="1:8" x14ac:dyDescent="0.25">
      <c r="A111" s="15"/>
      <c r="B111" s="15" t="s">
        <v>194</v>
      </c>
      <c r="C111" s="25" t="s">
        <v>195</v>
      </c>
      <c r="D111" s="16">
        <f>D114+D147+D141</f>
        <v>496101</v>
      </c>
      <c r="E111" s="16">
        <f t="shared" ref="E111:E112" si="37">E114+E147+E141</f>
        <v>667203</v>
      </c>
      <c r="G111" s="128">
        <f t="shared" si="28"/>
        <v>171102</v>
      </c>
      <c r="H111" s="112">
        <f t="shared" si="29"/>
        <v>34.48934793519868</v>
      </c>
    </row>
    <row r="112" spans="1:8" x14ac:dyDescent="0.25">
      <c r="A112" s="15"/>
      <c r="B112" s="15" t="s">
        <v>196</v>
      </c>
      <c r="C112" s="25" t="s">
        <v>197</v>
      </c>
      <c r="D112" s="16">
        <f>D115+D148+D142</f>
        <v>427264</v>
      </c>
      <c r="E112" s="16">
        <f t="shared" si="37"/>
        <v>667203</v>
      </c>
      <c r="G112" s="128">
        <f t="shared" si="28"/>
        <v>239939</v>
      </c>
      <c r="H112" s="112">
        <f t="shared" si="29"/>
        <v>56.157083208508084</v>
      </c>
    </row>
    <row r="113" spans="1:8" x14ac:dyDescent="0.25">
      <c r="A113" s="15" t="s">
        <v>30</v>
      </c>
      <c r="B113" s="15" t="s">
        <v>42</v>
      </c>
      <c r="C113" s="25" t="s">
        <v>203</v>
      </c>
      <c r="D113" s="16"/>
      <c r="E113" s="16"/>
      <c r="G113" s="128">
        <f t="shared" si="28"/>
        <v>0</v>
      </c>
      <c r="H113" s="112" t="e">
        <f t="shared" si="29"/>
        <v>#DIV/0!</v>
      </c>
    </row>
    <row r="114" spans="1:8" x14ac:dyDescent="0.25">
      <c r="A114" s="15"/>
      <c r="B114" s="15" t="s">
        <v>194</v>
      </c>
      <c r="C114" s="25" t="s">
        <v>195</v>
      </c>
      <c r="D114" s="16">
        <f>D117+D120+D123+D126+D129+D132+D138+D135</f>
        <v>472911</v>
      </c>
      <c r="E114" s="16">
        <f t="shared" ref="E114:E115" si="38">E117+E120+E123+E126+E129+E132+E138+E135</f>
        <v>639146</v>
      </c>
      <c r="G114" s="128">
        <f t="shared" si="28"/>
        <v>166235</v>
      </c>
      <c r="H114" s="112">
        <f t="shared" si="29"/>
        <v>35.151434413663459</v>
      </c>
    </row>
    <row r="115" spans="1:8" x14ac:dyDescent="0.25">
      <c r="A115" s="15"/>
      <c r="B115" s="15" t="s">
        <v>196</v>
      </c>
      <c r="C115" s="25" t="s">
        <v>197</v>
      </c>
      <c r="D115" s="16">
        <f>D118+D121+D124+D127+D130+D133+D139+D136</f>
        <v>405825</v>
      </c>
      <c r="E115" s="16">
        <f t="shared" si="38"/>
        <v>639146</v>
      </c>
      <c r="G115" s="128">
        <f t="shared" si="28"/>
        <v>233321</v>
      </c>
      <c r="H115" s="112">
        <f t="shared" si="29"/>
        <v>57.493008069980903</v>
      </c>
    </row>
    <row r="116" spans="1:8" x14ac:dyDescent="0.25">
      <c r="A116" s="51" t="s">
        <v>30</v>
      </c>
      <c r="B116" s="51" t="s">
        <v>43</v>
      </c>
      <c r="C116" s="52" t="s">
        <v>204</v>
      </c>
      <c r="D116" s="29"/>
      <c r="E116" s="29"/>
      <c r="G116" s="128">
        <f t="shared" si="28"/>
        <v>0</v>
      </c>
      <c r="H116" s="112" t="e">
        <f t="shared" si="29"/>
        <v>#DIV/0!</v>
      </c>
    </row>
    <row r="117" spans="1:8" x14ac:dyDescent="0.25">
      <c r="A117" s="51"/>
      <c r="B117" s="12" t="s">
        <v>194</v>
      </c>
      <c r="C117" s="53" t="s">
        <v>195</v>
      </c>
      <c r="D117" s="88">
        <v>436012</v>
      </c>
      <c r="E117" s="86">
        <f>'[1]BVC 2022 '!D117</f>
        <v>591258</v>
      </c>
      <c r="G117" s="128">
        <f t="shared" si="28"/>
        <v>155246</v>
      </c>
      <c r="H117" s="112">
        <f t="shared" si="29"/>
        <v>35.60590075502509</v>
      </c>
    </row>
    <row r="118" spans="1:8" x14ac:dyDescent="0.25">
      <c r="A118" s="51"/>
      <c r="B118" s="33" t="s">
        <v>196</v>
      </c>
      <c r="C118" s="54" t="s">
        <v>197</v>
      </c>
      <c r="D118" s="88">
        <v>378493</v>
      </c>
      <c r="E118" s="86">
        <f>'[1]BVC 2022 '!D118</f>
        <v>591258</v>
      </c>
      <c r="G118" s="128">
        <f t="shared" si="28"/>
        <v>212765</v>
      </c>
      <c r="H118" s="112">
        <f t="shared" si="29"/>
        <v>56.213721257724714</v>
      </c>
    </row>
    <row r="119" spans="1:8" x14ac:dyDescent="0.25">
      <c r="A119" s="51" t="s">
        <v>30</v>
      </c>
      <c r="B119" s="51" t="s">
        <v>311</v>
      </c>
      <c r="C119" s="52" t="s">
        <v>312</v>
      </c>
      <c r="D119" s="29"/>
      <c r="E119" s="29"/>
      <c r="G119" s="128">
        <f t="shared" si="28"/>
        <v>0</v>
      </c>
      <c r="H119" s="112" t="e">
        <f t="shared" si="29"/>
        <v>#DIV/0!</v>
      </c>
    </row>
    <row r="120" spans="1:8" x14ac:dyDescent="0.25">
      <c r="A120" s="51"/>
      <c r="B120" s="12" t="s">
        <v>194</v>
      </c>
      <c r="C120" s="53" t="s">
        <v>195</v>
      </c>
      <c r="D120" s="17">
        <v>46</v>
      </c>
      <c r="E120" s="86">
        <f>'[1]BVC 2022 '!D120</f>
        <v>142</v>
      </c>
      <c r="G120" s="128">
        <f t="shared" si="28"/>
        <v>96</v>
      </c>
      <c r="H120" s="112">
        <f t="shared" si="29"/>
        <v>208.69565217391303</v>
      </c>
    </row>
    <row r="121" spans="1:8" x14ac:dyDescent="0.25">
      <c r="A121" s="51"/>
      <c r="B121" s="33" t="s">
        <v>196</v>
      </c>
      <c r="C121" s="54" t="s">
        <v>197</v>
      </c>
      <c r="D121" s="17">
        <v>34</v>
      </c>
      <c r="E121" s="86">
        <f>'[1]BVC 2022 '!D121</f>
        <v>142</v>
      </c>
      <c r="G121" s="128">
        <f t="shared" si="28"/>
        <v>108</v>
      </c>
      <c r="H121" s="112">
        <f t="shared" si="29"/>
        <v>317.64705882352939</v>
      </c>
    </row>
    <row r="122" spans="1:8" x14ac:dyDescent="0.25">
      <c r="A122" s="55" t="s">
        <v>30</v>
      </c>
      <c r="B122" s="55" t="s">
        <v>44</v>
      </c>
      <c r="C122" s="56" t="s">
        <v>45</v>
      </c>
      <c r="D122" s="29"/>
      <c r="E122" s="29"/>
      <c r="G122" s="128">
        <f t="shared" si="28"/>
        <v>0</v>
      </c>
      <c r="H122" s="112" t="e">
        <f t="shared" si="29"/>
        <v>#DIV/0!</v>
      </c>
    </row>
    <row r="123" spans="1:8" x14ac:dyDescent="0.25">
      <c r="A123" s="55"/>
      <c r="B123" s="12" t="s">
        <v>194</v>
      </c>
      <c r="C123" s="53" t="s">
        <v>195</v>
      </c>
      <c r="D123" s="17">
        <v>4792</v>
      </c>
      <c r="E123" s="86">
        <f>'[1]BVC 2022 '!D123</f>
        <v>6366</v>
      </c>
      <c r="G123" s="128">
        <f t="shared" si="28"/>
        <v>1574</v>
      </c>
      <c r="H123" s="112">
        <f t="shared" si="29"/>
        <v>32.846410684474122</v>
      </c>
    </row>
    <row r="124" spans="1:8" x14ac:dyDescent="0.25">
      <c r="A124" s="55"/>
      <c r="B124" s="33" t="s">
        <v>196</v>
      </c>
      <c r="C124" s="54" t="s">
        <v>197</v>
      </c>
      <c r="D124" s="17">
        <v>3476</v>
      </c>
      <c r="E124" s="86">
        <f>'[1]BVC 2022 '!D124</f>
        <v>6366</v>
      </c>
      <c r="G124" s="128">
        <f t="shared" si="28"/>
        <v>2890</v>
      </c>
      <c r="H124" s="112">
        <f t="shared" si="29"/>
        <v>83.141542002301492</v>
      </c>
    </row>
    <row r="125" spans="1:8" x14ac:dyDescent="0.25">
      <c r="A125" s="55" t="s">
        <v>30</v>
      </c>
      <c r="B125" s="55" t="s">
        <v>46</v>
      </c>
      <c r="C125" s="56" t="s">
        <v>205</v>
      </c>
      <c r="D125" s="29"/>
      <c r="E125" s="29"/>
      <c r="G125" s="128">
        <f t="shared" si="28"/>
        <v>0</v>
      </c>
      <c r="H125" s="112" t="e">
        <f t="shared" si="29"/>
        <v>#DIV/0!</v>
      </c>
    </row>
    <row r="126" spans="1:8" x14ac:dyDescent="0.25">
      <c r="A126" s="55"/>
      <c r="B126" s="12" t="s">
        <v>194</v>
      </c>
      <c r="C126" s="53" t="s">
        <v>195</v>
      </c>
      <c r="D126" s="17">
        <v>765</v>
      </c>
      <c r="E126" s="86">
        <f>'[1]BVC 2022 '!D126</f>
        <v>1614</v>
      </c>
      <c r="G126" s="128">
        <f t="shared" si="28"/>
        <v>849</v>
      </c>
      <c r="H126" s="112">
        <f t="shared" si="29"/>
        <v>110.98039215686275</v>
      </c>
    </row>
    <row r="127" spans="1:8" x14ac:dyDescent="0.25">
      <c r="A127" s="55"/>
      <c r="B127" s="33" t="s">
        <v>196</v>
      </c>
      <c r="C127" s="54" t="s">
        <v>197</v>
      </c>
      <c r="D127" s="17">
        <v>605</v>
      </c>
      <c r="E127" s="86">
        <f>'[1]BVC 2022 '!D127</f>
        <v>1614</v>
      </c>
      <c r="G127" s="128">
        <f t="shared" si="28"/>
        <v>1009</v>
      </c>
      <c r="H127" s="112">
        <f t="shared" si="29"/>
        <v>166.77685950413223</v>
      </c>
    </row>
    <row r="128" spans="1:8" x14ac:dyDescent="0.25">
      <c r="A128" s="55" t="s">
        <v>30</v>
      </c>
      <c r="B128" s="55" t="s">
        <v>47</v>
      </c>
      <c r="C128" s="56" t="s">
        <v>268</v>
      </c>
      <c r="D128" s="29"/>
      <c r="E128" s="29"/>
      <c r="G128" s="128">
        <f t="shared" si="28"/>
        <v>0</v>
      </c>
      <c r="H128" s="112" t="e">
        <f t="shared" si="29"/>
        <v>#DIV/0!</v>
      </c>
    </row>
    <row r="129" spans="1:8" x14ac:dyDescent="0.25">
      <c r="A129" s="55"/>
      <c r="B129" s="12" t="s">
        <v>194</v>
      </c>
      <c r="C129" s="53" t="s">
        <v>195</v>
      </c>
      <c r="D129" s="17">
        <v>678</v>
      </c>
      <c r="E129" s="86">
        <f>'[1]BVC 2022 '!D129</f>
        <v>1139</v>
      </c>
      <c r="G129" s="128">
        <f t="shared" si="28"/>
        <v>461</v>
      </c>
      <c r="H129" s="112">
        <f t="shared" si="29"/>
        <v>67.994100294985245</v>
      </c>
    </row>
    <row r="130" spans="1:8" x14ac:dyDescent="0.25">
      <c r="A130" s="55"/>
      <c r="B130" s="33" t="s">
        <v>196</v>
      </c>
      <c r="C130" s="54" t="s">
        <v>197</v>
      </c>
      <c r="D130" s="17">
        <v>490</v>
      </c>
      <c r="E130" s="86">
        <f>'[1]BVC 2022 '!D130</f>
        <v>1139</v>
      </c>
      <c r="G130" s="128">
        <f t="shared" si="28"/>
        <v>649</v>
      </c>
      <c r="H130" s="112">
        <f t="shared" si="29"/>
        <v>132.44897959183672</v>
      </c>
    </row>
    <row r="131" spans="1:8" hidden="1" x14ac:dyDescent="0.25">
      <c r="A131" s="55" t="s">
        <v>30</v>
      </c>
      <c r="B131" s="55" t="s">
        <v>48</v>
      </c>
      <c r="C131" s="56" t="s">
        <v>206</v>
      </c>
      <c r="D131" s="29"/>
      <c r="E131" s="29"/>
      <c r="G131" s="128">
        <f t="shared" si="28"/>
        <v>0</v>
      </c>
      <c r="H131" s="112" t="e">
        <f t="shared" si="29"/>
        <v>#DIV/0!</v>
      </c>
    </row>
    <row r="132" spans="1:8" hidden="1" x14ac:dyDescent="0.25">
      <c r="A132" s="55"/>
      <c r="B132" s="12" t="s">
        <v>194</v>
      </c>
      <c r="C132" s="53" t="s">
        <v>195</v>
      </c>
      <c r="D132" s="17">
        <v>0</v>
      </c>
      <c r="E132" s="17">
        <v>0</v>
      </c>
      <c r="G132" s="128">
        <f t="shared" si="28"/>
        <v>0</v>
      </c>
      <c r="H132" s="112" t="e">
        <f t="shared" si="29"/>
        <v>#DIV/0!</v>
      </c>
    </row>
    <row r="133" spans="1:8" hidden="1" x14ac:dyDescent="0.25">
      <c r="A133" s="55"/>
      <c r="B133" s="33" t="s">
        <v>196</v>
      </c>
      <c r="C133" s="54" t="s">
        <v>197</v>
      </c>
      <c r="D133" s="17">
        <v>0</v>
      </c>
      <c r="E133" s="17">
        <v>0</v>
      </c>
      <c r="G133" s="128">
        <f t="shared" si="28"/>
        <v>0</v>
      </c>
      <c r="H133" s="112" t="e">
        <f t="shared" si="29"/>
        <v>#DIV/0!</v>
      </c>
    </row>
    <row r="134" spans="1:8" x14ac:dyDescent="0.25">
      <c r="A134" s="55" t="s">
        <v>30</v>
      </c>
      <c r="B134" s="55" t="s">
        <v>269</v>
      </c>
      <c r="C134" s="56" t="s">
        <v>270</v>
      </c>
      <c r="D134" s="29"/>
      <c r="E134" s="29"/>
      <c r="G134" s="128">
        <f t="shared" si="28"/>
        <v>0</v>
      </c>
      <c r="H134" s="112" t="e">
        <f t="shared" si="29"/>
        <v>#DIV/0!</v>
      </c>
    </row>
    <row r="135" spans="1:8" x14ac:dyDescent="0.25">
      <c r="A135" s="55"/>
      <c r="B135" s="12" t="s">
        <v>194</v>
      </c>
      <c r="C135" s="53" t="s">
        <v>195</v>
      </c>
      <c r="D135" s="88">
        <f>24365-1</f>
        <v>24364</v>
      </c>
      <c r="E135" s="86">
        <f>'[1]BVC 2022 '!D135</f>
        <v>31292</v>
      </c>
      <c r="G135" s="128">
        <f t="shared" si="28"/>
        <v>6928</v>
      </c>
      <c r="H135" s="112">
        <f t="shared" si="29"/>
        <v>28.435396486619602</v>
      </c>
    </row>
    <row r="136" spans="1:8" x14ac:dyDescent="0.25">
      <c r="A136" s="55"/>
      <c r="B136" s="33" t="s">
        <v>196</v>
      </c>
      <c r="C136" s="54" t="s">
        <v>197</v>
      </c>
      <c r="D136" s="88">
        <v>19627</v>
      </c>
      <c r="E136" s="86">
        <f>'[1]BVC 2022 '!D136</f>
        <v>31292</v>
      </c>
      <c r="G136" s="128">
        <f t="shared" si="28"/>
        <v>11665</v>
      </c>
      <c r="H136" s="112">
        <f t="shared" si="29"/>
        <v>59.433433535435874</v>
      </c>
    </row>
    <row r="137" spans="1:8" x14ac:dyDescent="0.25">
      <c r="A137" s="55" t="s">
        <v>30</v>
      </c>
      <c r="B137" s="55" t="s">
        <v>49</v>
      </c>
      <c r="C137" s="56" t="s">
        <v>207</v>
      </c>
      <c r="D137" s="29"/>
      <c r="E137" s="29"/>
      <c r="G137" s="128">
        <f t="shared" si="28"/>
        <v>0</v>
      </c>
      <c r="H137" s="112" t="e">
        <f t="shared" si="29"/>
        <v>#DIV/0!</v>
      </c>
    </row>
    <row r="138" spans="1:8" x14ac:dyDescent="0.25">
      <c r="A138" s="55"/>
      <c r="B138" s="12" t="s">
        <v>194</v>
      </c>
      <c r="C138" s="53" t="s">
        <v>195</v>
      </c>
      <c r="D138" s="17">
        <v>6254</v>
      </c>
      <c r="E138" s="86">
        <f>'[1]BVC 2022 '!D138</f>
        <v>7335</v>
      </c>
      <c r="G138" s="128">
        <f t="shared" ref="G138:G201" si="39">E138-D138</f>
        <v>1081</v>
      </c>
      <c r="H138" s="112">
        <f t="shared" ref="H138:H201" si="40">G138/D138*100</f>
        <v>17.28493763991046</v>
      </c>
    </row>
    <row r="139" spans="1:8" x14ac:dyDescent="0.25">
      <c r="A139" s="55"/>
      <c r="B139" s="33" t="s">
        <v>196</v>
      </c>
      <c r="C139" s="54" t="s">
        <v>197</v>
      </c>
      <c r="D139" s="17">
        <v>3100</v>
      </c>
      <c r="E139" s="86">
        <f>'[1]BVC 2022 '!D139</f>
        <v>7335</v>
      </c>
      <c r="G139" s="128">
        <f t="shared" si="39"/>
        <v>4235</v>
      </c>
      <c r="H139" s="112">
        <f t="shared" si="40"/>
        <v>136.61290322580646</v>
      </c>
    </row>
    <row r="140" spans="1:8" x14ac:dyDescent="0.25">
      <c r="A140" s="15" t="s">
        <v>30</v>
      </c>
      <c r="B140" s="15" t="s">
        <v>50</v>
      </c>
      <c r="C140" s="42" t="s">
        <v>208</v>
      </c>
      <c r="D140" s="16"/>
      <c r="E140" s="16"/>
      <c r="G140" s="128">
        <f t="shared" si="39"/>
        <v>0</v>
      </c>
      <c r="H140" s="112" t="e">
        <f t="shared" si="40"/>
        <v>#DIV/0!</v>
      </c>
    </row>
    <row r="141" spans="1:8" x14ac:dyDescent="0.25">
      <c r="A141" s="15"/>
      <c r="B141" s="15" t="s">
        <v>194</v>
      </c>
      <c r="C141" s="25" t="s">
        <v>195</v>
      </c>
      <c r="D141" s="16">
        <f t="shared" ref="D141:E142" si="41">D144</f>
        <v>12326</v>
      </c>
      <c r="E141" s="16">
        <f t="shared" si="41"/>
        <v>12490</v>
      </c>
      <c r="G141" s="128">
        <f t="shared" si="39"/>
        <v>164</v>
      </c>
      <c r="H141" s="112">
        <f t="shared" si="40"/>
        <v>1.330520850235275</v>
      </c>
    </row>
    <row r="142" spans="1:8" x14ac:dyDescent="0.25">
      <c r="A142" s="15"/>
      <c r="B142" s="15" t="s">
        <v>196</v>
      </c>
      <c r="C142" s="25" t="s">
        <v>197</v>
      </c>
      <c r="D142" s="16">
        <f t="shared" si="41"/>
        <v>12149</v>
      </c>
      <c r="E142" s="16">
        <f t="shared" si="41"/>
        <v>12490</v>
      </c>
      <c r="G142" s="128">
        <f t="shared" si="39"/>
        <v>341</v>
      </c>
      <c r="H142" s="112">
        <f t="shared" si="40"/>
        <v>2.8068153757510905</v>
      </c>
    </row>
    <row r="143" spans="1:8" x14ac:dyDescent="0.25">
      <c r="A143" s="12" t="s">
        <v>30</v>
      </c>
      <c r="B143" s="12" t="s">
        <v>164</v>
      </c>
      <c r="C143" s="57" t="s">
        <v>165</v>
      </c>
      <c r="D143" s="58"/>
      <c r="E143" s="58"/>
      <c r="G143" s="128">
        <f t="shared" si="39"/>
        <v>0</v>
      </c>
      <c r="H143" s="112" t="e">
        <f t="shared" si="40"/>
        <v>#DIV/0!</v>
      </c>
    </row>
    <row r="144" spans="1:8" x14ac:dyDescent="0.25">
      <c r="A144" s="12"/>
      <c r="B144" s="12" t="s">
        <v>194</v>
      </c>
      <c r="C144" s="53" t="s">
        <v>195</v>
      </c>
      <c r="D144" s="88">
        <v>12326</v>
      </c>
      <c r="E144" s="86">
        <f>'[1]BVC 2022 '!D144</f>
        <v>12490</v>
      </c>
      <c r="G144" s="128">
        <f t="shared" si="39"/>
        <v>164</v>
      </c>
      <c r="H144" s="112">
        <f t="shared" si="40"/>
        <v>1.330520850235275</v>
      </c>
    </row>
    <row r="145" spans="1:8" x14ac:dyDescent="0.25">
      <c r="A145" s="12"/>
      <c r="B145" s="33" t="s">
        <v>196</v>
      </c>
      <c r="C145" s="54" t="s">
        <v>197</v>
      </c>
      <c r="D145" s="88">
        <v>12149</v>
      </c>
      <c r="E145" s="86">
        <f>'[1]BVC 2022 '!D145</f>
        <v>12490</v>
      </c>
      <c r="G145" s="128">
        <f t="shared" si="39"/>
        <v>341</v>
      </c>
      <c r="H145" s="112">
        <f t="shared" si="40"/>
        <v>2.8068153757510905</v>
      </c>
    </row>
    <row r="146" spans="1:8" x14ac:dyDescent="0.25">
      <c r="A146" s="15" t="s">
        <v>30</v>
      </c>
      <c r="B146" s="15" t="s">
        <v>51</v>
      </c>
      <c r="C146" s="25" t="s">
        <v>209</v>
      </c>
      <c r="D146" s="27"/>
      <c r="E146" s="27"/>
      <c r="G146" s="128">
        <f t="shared" si="39"/>
        <v>0</v>
      </c>
      <c r="H146" s="112" t="e">
        <f t="shared" si="40"/>
        <v>#DIV/0!</v>
      </c>
    </row>
    <row r="147" spans="1:8" x14ac:dyDescent="0.25">
      <c r="A147" s="15"/>
      <c r="B147" s="15" t="s">
        <v>194</v>
      </c>
      <c r="C147" s="25" t="s">
        <v>195</v>
      </c>
      <c r="D147" s="27">
        <f t="shared" ref="D147:E148" si="42">D150+D153+D156+D159+D162+D165+D168+D171</f>
        <v>10864</v>
      </c>
      <c r="E147" s="27">
        <f t="shared" si="42"/>
        <v>15567</v>
      </c>
      <c r="G147" s="128">
        <f t="shared" si="39"/>
        <v>4703</v>
      </c>
      <c r="H147" s="112">
        <f t="shared" si="40"/>
        <v>43.289764359351992</v>
      </c>
    </row>
    <row r="148" spans="1:8" x14ac:dyDescent="0.25">
      <c r="A148" s="15"/>
      <c r="B148" s="15" t="s">
        <v>196</v>
      </c>
      <c r="C148" s="25" t="s">
        <v>197</v>
      </c>
      <c r="D148" s="27">
        <f>D151+D154+D157+D160+D163+D166+D169+D172</f>
        <v>9290</v>
      </c>
      <c r="E148" s="27">
        <f t="shared" si="42"/>
        <v>15567</v>
      </c>
      <c r="G148" s="128">
        <f t="shared" si="39"/>
        <v>6277</v>
      </c>
      <c r="H148" s="112">
        <f t="shared" si="40"/>
        <v>67.567276641550052</v>
      </c>
    </row>
    <row r="149" spans="1:8" x14ac:dyDescent="0.25">
      <c r="A149" s="18" t="s">
        <v>30</v>
      </c>
      <c r="B149" s="18" t="s">
        <v>52</v>
      </c>
      <c r="C149" s="59" t="s">
        <v>210</v>
      </c>
      <c r="D149" s="60"/>
      <c r="E149" s="60"/>
      <c r="G149" s="128">
        <f t="shared" si="39"/>
        <v>0</v>
      </c>
      <c r="H149" s="112" t="e">
        <f t="shared" si="40"/>
        <v>#DIV/0!</v>
      </c>
    </row>
    <row r="150" spans="1:8" x14ac:dyDescent="0.25">
      <c r="A150" s="18"/>
      <c r="B150" s="12" t="s">
        <v>194</v>
      </c>
      <c r="C150" s="53" t="s">
        <v>195</v>
      </c>
      <c r="D150" s="17">
        <v>391</v>
      </c>
      <c r="E150" s="86">
        <f>'[1]BVC 2022 '!D150</f>
        <v>764</v>
      </c>
      <c r="G150" s="128">
        <f t="shared" si="39"/>
        <v>373</v>
      </c>
      <c r="H150" s="112">
        <f t="shared" si="40"/>
        <v>95.396419437340157</v>
      </c>
    </row>
    <row r="151" spans="1:8" x14ac:dyDescent="0.25">
      <c r="A151" s="18"/>
      <c r="B151" s="33" t="s">
        <v>196</v>
      </c>
      <c r="C151" s="54" t="s">
        <v>197</v>
      </c>
      <c r="D151" s="17">
        <v>184</v>
      </c>
      <c r="E151" s="86">
        <f>'[1]BVC 2022 '!D151</f>
        <v>764</v>
      </c>
      <c r="G151" s="128">
        <f t="shared" si="39"/>
        <v>580</v>
      </c>
      <c r="H151" s="112">
        <f t="shared" si="40"/>
        <v>315.21739130434781</v>
      </c>
    </row>
    <row r="152" spans="1:8" x14ac:dyDescent="0.25">
      <c r="A152" s="18" t="s">
        <v>30</v>
      </c>
      <c r="B152" s="18" t="s">
        <v>53</v>
      </c>
      <c r="C152" s="5" t="s">
        <v>54</v>
      </c>
      <c r="D152" s="17"/>
      <c r="E152" s="17"/>
      <c r="G152" s="128">
        <f t="shared" si="39"/>
        <v>0</v>
      </c>
      <c r="H152" s="112" t="e">
        <f t="shared" si="40"/>
        <v>#DIV/0!</v>
      </c>
    </row>
    <row r="153" spans="1:8" x14ac:dyDescent="0.25">
      <c r="A153" s="18"/>
      <c r="B153" s="12" t="s">
        <v>194</v>
      </c>
      <c r="C153" s="53" t="s">
        <v>195</v>
      </c>
      <c r="D153" s="17">
        <v>15</v>
      </c>
      <c r="E153" s="86">
        <f>'[1]BVC 2022 '!D153</f>
        <v>38</v>
      </c>
      <c r="G153" s="128">
        <f t="shared" si="39"/>
        <v>23</v>
      </c>
      <c r="H153" s="112">
        <f t="shared" si="40"/>
        <v>153.33333333333334</v>
      </c>
    </row>
    <row r="154" spans="1:8" x14ac:dyDescent="0.25">
      <c r="A154" s="18"/>
      <c r="B154" s="33" t="s">
        <v>196</v>
      </c>
      <c r="C154" s="54" t="s">
        <v>197</v>
      </c>
      <c r="D154" s="17">
        <v>6</v>
      </c>
      <c r="E154" s="86">
        <f>'[1]BVC 2022 '!D154</f>
        <v>38</v>
      </c>
      <c r="G154" s="128">
        <f t="shared" si="39"/>
        <v>32</v>
      </c>
      <c r="H154" s="112">
        <f t="shared" si="40"/>
        <v>533.33333333333326</v>
      </c>
    </row>
    <row r="155" spans="1:8" x14ac:dyDescent="0.25">
      <c r="A155" s="18" t="s">
        <v>30</v>
      </c>
      <c r="B155" s="18" t="s">
        <v>55</v>
      </c>
      <c r="C155" s="5" t="s">
        <v>56</v>
      </c>
      <c r="D155" s="17"/>
      <c r="E155" s="17"/>
      <c r="G155" s="128">
        <f t="shared" si="39"/>
        <v>0</v>
      </c>
      <c r="H155" s="112" t="e">
        <f t="shared" si="40"/>
        <v>#DIV/0!</v>
      </c>
    </row>
    <row r="156" spans="1:8" x14ac:dyDescent="0.25">
      <c r="A156" s="18"/>
      <c r="B156" s="12" t="s">
        <v>194</v>
      </c>
      <c r="C156" s="53" t="s">
        <v>195</v>
      </c>
      <c r="D156" s="17">
        <v>131</v>
      </c>
      <c r="E156" s="86">
        <f>'[1]BVC 2022 '!D156</f>
        <v>258</v>
      </c>
      <c r="G156" s="128">
        <f t="shared" si="39"/>
        <v>127</v>
      </c>
      <c r="H156" s="112">
        <f t="shared" si="40"/>
        <v>96.946564885496173</v>
      </c>
    </row>
    <row r="157" spans="1:8" x14ac:dyDescent="0.25">
      <c r="A157" s="18"/>
      <c r="B157" s="33" t="s">
        <v>196</v>
      </c>
      <c r="C157" s="54" t="s">
        <v>197</v>
      </c>
      <c r="D157" s="17">
        <v>61</v>
      </c>
      <c r="E157" s="86">
        <f>'[1]BVC 2022 '!D157</f>
        <v>258</v>
      </c>
      <c r="G157" s="128">
        <f t="shared" si="39"/>
        <v>197</v>
      </c>
      <c r="H157" s="112">
        <f t="shared" si="40"/>
        <v>322.9508196721311</v>
      </c>
    </row>
    <row r="158" spans="1:8" ht="25.5" x14ac:dyDescent="0.25">
      <c r="A158" s="18" t="s">
        <v>30</v>
      </c>
      <c r="B158" s="18" t="s">
        <v>57</v>
      </c>
      <c r="C158" s="5" t="s">
        <v>211</v>
      </c>
      <c r="D158" s="17"/>
      <c r="E158" s="17"/>
      <c r="G158" s="128">
        <f t="shared" si="39"/>
        <v>0</v>
      </c>
      <c r="H158" s="112" t="e">
        <f t="shared" si="40"/>
        <v>#DIV/0!</v>
      </c>
    </row>
    <row r="159" spans="1:8" x14ac:dyDescent="0.25">
      <c r="A159" s="18"/>
      <c r="B159" s="12" t="s">
        <v>194</v>
      </c>
      <c r="C159" s="53" t="s">
        <v>195</v>
      </c>
      <c r="D159" s="17">
        <v>7</v>
      </c>
      <c r="E159" s="86">
        <f>'[1]BVC 2022 '!D159</f>
        <v>18</v>
      </c>
      <c r="G159" s="128">
        <f t="shared" si="39"/>
        <v>11</v>
      </c>
      <c r="H159" s="112">
        <f t="shared" si="40"/>
        <v>157.14285714285714</v>
      </c>
    </row>
    <row r="160" spans="1:8" x14ac:dyDescent="0.25">
      <c r="A160" s="18"/>
      <c r="B160" s="33" t="s">
        <v>196</v>
      </c>
      <c r="C160" s="54" t="s">
        <v>197</v>
      </c>
      <c r="D160" s="17">
        <f>2+1</f>
        <v>3</v>
      </c>
      <c r="E160" s="86">
        <f>'[1]BVC 2022 '!D160</f>
        <v>18</v>
      </c>
      <c r="G160" s="128">
        <f t="shared" si="39"/>
        <v>15</v>
      </c>
      <c r="H160" s="112">
        <f t="shared" si="40"/>
        <v>500</v>
      </c>
    </row>
    <row r="161" spans="1:8" hidden="1" x14ac:dyDescent="0.25">
      <c r="A161" s="18" t="s">
        <v>30</v>
      </c>
      <c r="B161" s="18" t="s">
        <v>169</v>
      </c>
      <c r="C161" s="5" t="s">
        <v>170</v>
      </c>
      <c r="D161" s="17"/>
      <c r="E161" s="17"/>
      <c r="G161" s="128">
        <f t="shared" si="39"/>
        <v>0</v>
      </c>
      <c r="H161" s="112" t="e">
        <f t="shared" si="40"/>
        <v>#DIV/0!</v>
      </c>
    </row>
    <row r="162" spans="1:8" hidden="1" x14ac:dyDescent="0.25">
      <c r="A162" s="18"/>
      <c r="B162" s="12" t="s">
        <v>194</v>
      </c>
      <c r="C162" s="53" t="s">
        <v>195</v>
      </c>
      <c r="D162" s="17">
        <v>0</v>
      </c>
      <c r="E162" s="17">
        <v>0</v>
      </c>
      <c r="G162" s="128">
        <f t="shared" si="39"/>
        <v>0</v>
      </c>
      <c r="H162" s="112" t="e">
        <f t="shared" si="40"/>
        <v>#DIV/0!</v>
      </c>
    </row>
    <row r="163" spans="1:8" hidden="1" x14ac:dyDescent="0.25">
      <c r="A163" s="18"/>
      <c r="B163" s="33" t="s">
        <v>196</v>
      </c>
      <c r="C163" s="54" t="s">
        <v>197</v>
      </c>
      <c r="D163" s="17">
        <v>0</v>
      </c>
      <c r="E163" s="17">
        <v>0</v>
      </c>
      <c r="G163" s="128">
        <f t="shared" si="39"/>
        <v>0</v>
      </c>
      <c r="H163" s="112" t="e">
        <f t="shared" si="40"/>
        <v>#DIV/0!</v>
      </c>
    </row>
    <row r="164" spans="1:8" x14ac:dyDescent="0.25">
      <c r="A164" s="18" t="s">
        <v>30</v>
      </c>
      <c r="B164" s="18" t="s">
        <v>58</v>
      </c>
      <c r="C164" s="5" t="s">
        <v>212</v>
      </c>
      <c r="D164" s="17"/>
      <c r="E164" s="17"/>
      <c r="G164" s="128">
        <f t="shared" si="39"/>
        <v>0</v>
      </c>
      <c r="H164" s="112" t="e">
        <f t="shared" si="40"/>
        <v>#DIV/0!</v>
      </c>
    </row>
    <row r="165" spans="1:8" x14ac:dyDescent="0.25">
      <c r="A165" s="18"/>
      <c r="B165" s="12" t="s">
        <v>194</v>
      </c>
      <c r="C165" s="53" t="s">
        <v>195</v>
      </c>
      <c r="D165" s="17">
        <f>23+1</f>
        <v>24</v>
      </c>
      <c r="E165" s="86">
        <f>'[1]BVC 2022 '!D165</f>
        <v>44</v>
      </c>
      <c r="G165" s="128">
        <f t="shared" si="39"/>
        <v>20</v>
      </c>
      <c r="H165" s="112">
        <f t="shared" si="40"/>
        <v>83.333333333333343</v>
      </c>
    </row>
    <row r="166" spans="1:8" x14ac:dyDescent="0.25">
      <c r="A166" s="18"/>
      <c r="B166" s="33" t="s">
        <v>196</v>
      </c>
      <c r="C166" s="54" t="s">
        <v>197</v>
      </c>
      <c r="D166" s="17">
        <v>2</v>
      </c>
      <c r="E166" s="86">
        <f>'[1]BVC 2022 '!D166</f>
        <v>44</v>
      </c>
      <c r="G166" s="128">
        <f t="shared" si="39"/>
        <v>42</v>
      </c>
      <c r="H166" s="112">
        <f t="shared" si="40"/>
        <v>2100</v>
      </c>
    </row>
    <row r="167" spans="1:8" x14ac:dyDescent="0.25">
      <c r="A167" s="12" t="s">
        <v>30</v>
      </c>
      <c r="B167" s="12" t="s">
        <v>162</v>
      </c>
      <c r="C167" s="61" t="s">
        <v>163</v>
      </c>
      <c r="D167" s="62"/>
      <c r="E167" s="62"/>
      <c r="G167" s="128">
        <f t="shared" si="39"/>
        <v>0</v>
      </c>
      <c r="H167" s="112" t="e">
        <f t="shared" si="40"/>
        <v>#DIV/0!</v>
      </c>
    </row>
    <row r="168" spans="1:8" x14ac:dyDescent="0.25">
      <c r="A168" s="12"/>
      <c r="B168" s="12" t="s">
        <v>194</v>
      </c>
      <c r="C168" s="53" t="s">
        <v>195</v>
      </c>
      <c r="D168" s="88">
        <v>10296</v>
      </c>
      <c r="E168" s="86">
        <f>'[1]BVC 2022 '!D168</f>
        <v>14313</v>
      </c>
      <c r="G168" s="128">
        <f t="shared" si="39"/>
        <v>4017</v>
      </c>
      <c r="H168" s="112">
        <f t="shared" si="40"/>
        <v>39.015151515151516</v>
      </c>
    </row>
    <row r="169" spans="1:8" x14ac:dyDescent="0.25">
      <c r="A169" s="12"/>
      <c r="B169" s="33" t="s">
        <v>196</v>
      </c>
      <c r="C169" s="54" t="s">
        <v>197</v>
      </c>
      <c r="D169" s="88">
        <v>9034</v>
      </c>
      <c r="E169" s="86">
        <f>'[1]BVC 2022 '!D169</f>
        <v>14313</v>
      </c>
      <c r="G169" s="128">
        <f t="shared" si="39"/>
        <v>5279</v>
      </c>
      <c r="H169" s="112">
        <f t="shared" si="40"/>
        <v>58.434801859641347</v>
      </c>
    </row>
    <row r="170" spans="1:8" x14ac:dyDescent="0.25">
      <c r="A170" s="12" t="s">
        <v>30</v>
      </c>
      <c r="B170" s="12" t="s">
        <v>171</v>
      </c>
      <c r="C170" s="61" t="s">
        <v>172</v>
      </c>
      <c r="D170" s="62"/>
      <c r="E170" s="62"/>
      <c r="G170" s="128">
        <f t="shared" si="39"/>
        <v>0</v>
      </c>
      <c r="H170" s="112" t="e">
        <f t="shared" si="40"/>
        <v>#DIV/0!</v>
      </c>
    </row>
    <row r="171" spans="1:8" x14ac:dyDescent="0.25">
      <c r="A171" s="12"/>
      <c r="B171" s="12" t="s">
        <v>194</v>
      </c>
      <c r="C171" s="53" t="s">
        <v>195</v>
      </c>
      <c r="D171" s="17">
        <v>0</v>
      </c>
      <c r="E171" s="86">
        <f>'[1]BVC 2022 '!D171</f>
        <v>132</v>
      </c>
      <c r="G171" s="128">
        <f t="shared" si="39"/>
        <v>132</v>
      </c>
      <c r="H171" s="112" t="e">
        <f t="shared" si="40"/>
        <v>#DIV/0!</v>
      </c>
    </row>
    <row r="172" spans="1:8" x14ac:dyDescent="0.25">
      <c r="A172" s="12"/>
      <c r="B172" s="33" t="s">
        <v>196</v>
      </c>
      <c r="C172" s="54" t="s">
        <v>197</v>
      </c>
      <c r="D172" s="17">
        <v>0</v>
      </c>
      <c r="E172" s="86">
        <f>'[1]BVC 2022 '!D172</f>
        <v>132</v>
      </c>
      <c r="G172" s="128">
        <f t="shared" si="39"/>
        <v>132</v>
      </c>
      <c r="H172" s="112" t="e">
        <f t="shared" si="40"/>
        <v>#DIV/0!</v>
      </c>
    </row>
    <row r="173" spans="1:8" x14ac:dyDescent="0.25">
      <c r="A173" s="15" t="s">
        <v>30</v>
      </c>
      <c r="B173" s="43">
        <v>20</v>
      </c>
      <c r="C173" s="25" t="s">
        <v>213</v>
      </c>
      <c r="D173" s="27"/>
      <c r="E173" s="27"/>
      <c r="G173" s="128">
        <f t="shared" si="39"/>
        <v>0</v>
      </c>
      <c r="H173" s="112" t="e">
        <f t="shared" si="40"/>
        <v>#DIV/0!</v>
      </c>
    </row>
    <row r="174" spans="1:8" x14ac:dyDescent="0.25">
      <c r="A174" s="15"/>
      <c r="B174" s="15" t="s">
        <v>194</v>
      </c>
      <c r="C174" s="25" t="s">
        <v>195</v>
      </c>
      <c r="D174" s="27">
        <f t="shared" ref="D174:E175" si="43">D177+D213+D210+D219+D234+D246+D255+D258+D261+D264+D267+D270+D273+D276+D279+D285+D288</f>
        <v>208981</v>
      </c>
      <c r="E174" s="27">
        <f t="shared" si="43"/>
        <v>363856</v>
      </c>
      <c r="G174" s="128">
        <f t="shared" si="39"/>
        <v>154875</v>
      </c>
      <c r="H174" s="112">
        <f t="shared" si="40"/>
        <v>74.109608050492625</v>
      </c>
    </row>
    <row r="175" spans="1:8" x14ac:dyDescent="0.25">
      <c r="A175" s="15"/>
      <c r="B175" s="15" t="s">
        <v>196</v>
      </c>
      <c r="C175" s="25" t="s">
        <v>197</v>
      </c>
      <c r="D175" s="27">
        <f>D178+D214+D211+D220+D235+D247+D256+D259+D262+D265+D268+D271+D274+D277+D280+D286+D289</f>
        <v>180438</v>
      </c>
      <c r="E175" s="27">
        <f t="shared" si="43"/>
        <v>363856</v>
      </c>
      <c r="G175" s="128">
        <f t="shared" si="39"/>
        <v>183418</v>
      </c>
      <c r="H175" s="112">
        <f t="shared" si="40"/>
        <v>101.65153681597003</v>
      </c>
    </row>
    <row r="176" spans="1:8" x14ac:dyDescent="0.25">
      <c r="A176" s="15" t="s">
        <v>30</v>
      </c>
      <c r="B176" s="43" t="s">
        <v>59</v>
      </c>
      <c r="C176" s="2" t="s">
        <v>214</v>
      </c>
      <c r="D176" s="16"/>
      <c r="E176" s="16"/>
      <c r="G176" s="128">
        <f t="shared" si="39"/>
        <v>0</v>
      </c>
      <c r="H176" s="112" t="e">
        <f t="shared" si="40"/>
        <v>#DIV/0!</v>
      </c>
    </row>
    <row r="177" spans="1:8" x14ac:dyDescent="0.25">
      <c r="A177" s="15"/>
      <c r="B177" s="15" t="s">
        <v>194</v>
      </c>
      <c r="C177" s="25" t="s">
        <v>195</v>
      </c>
      <c r="D177" s="16">
        <f t="shared" ref="D177:E178" si="44">D180+D183+D186+D189+D192+D195+D198+D201+D204+D207</f>
        <v>74937</v>
      </c>
      <c r="E177" s="16">
        <f t="shared" si="44"/>
        <v>127464</v>
      </c>
      <c r="G177" s="128">
        <f t="shared" si="39"/>
        <v>52527</v>
      </c>
      <c r="H177" s="112">
        <f t="shared" si="40"/>
        <v>70.094879698947111</v>
      </c>
    </row>
    <row r="178" spans="1:8" x14ac:dyDescent="0.25">
      <c r="A178" s="15"/>
      <c r="B178" s="15" t="s">
        <v>196</v>
      </c>
      <c r="C178" s="25" t="s">
        <v>197</v>
      </c>
      <c r="D178" s="16">
        <f t="shared" si="44"/>
        <v>56822</v>
      </c>
      <c r="E178" s="16">
        <f t="shared" si="44"/>
        <v>127464</v>
      </c>
      <c r="G178" s="128">
        <f t="shared" si="39"/>
        <v>70642</v>
      </c>
      <c r="H178" s="112">
        <f t="shared" si="40"/>
        <v>124.3215655907923</v>
      </c>
    </row>
    <row r="179" spans="1:8" x14ac:dyDescent="0.25">
      <c r="A179" s="18" t="s">
        <v>30</v>
      </c>
      <c r="B179" s="11" t="s">
        <v>60</v>
      </c>
      <c r="C179" s="5" t="s">
        <v>61</v>
      </c>
      <c r="D179" s="63"/>
      <c r="E179" s="63"/>
      <c r="G179" s="128">
        <f t="shared" si="39"/>
        <v>0</v>
      </c>
      <c r="H179" s="112" t="e">
        <f t="shared" si="40"/>
        <v>#DIV/0!</v>
      </c>
    </row>
    <row r="180" spans="1:8" x14ac:dyDescent="0.25">
      <c r="A180" s="18"/>
      <c r="B180" s="12" t="s">
        <v>194</v>
      </c>
      <c r="C180" s="53" t="s">
        <v>195</v>
      </c>
      <c r="D180" s="88">
        <v>830</v>
      </c>
      <c r="E180" s="86">
        <f>'[1]BVC 2022 '!D180</f>
        <v>1570</v>
      </c>
      <c r="G180" s="128">
        <f t="shared" si="39"/>
        <v>740</v>
      </c>
      <c r="H180" s="112">
        <f t="shared" si="40"/>
        <v>89.156626506024097</v>
      </c>
    </row>
    <row r="181" spans="1:8" x14ac:dyDescent="0.25">
      <c r="A181" s="18"/>
      <c r="B181" s="33" t="s">
        <v>196</v>
      </c>
      <c r="C181" s="54" t="s">
        <v>197</v>
      </c>
      <c r="D181" s="88">
        <v>676</v>
      </c>
      <c r="E181" s="86">
        <f>'[1]BVC 2022 '!D181</f>
        <v>1570</v>
      </c>
      <c r="G181" s="128">
        <f t="shared" si="39"/>
        <v>894</v>
      </c>
      <c r="H181" s="112">
        <f t="shared" si="40"/>
        <v>132.24852071005918</v>
      </c>
    </row>
    <row r="182" spans="1:8" x14ac:dyDescent="0.25">
      <c r="A182" s="18" t="s">
        <v>30</v>
      </c>
      <c r="B182" s="11" t="s">
        <v>62</v>
      </c>
      <c r="C182" s="5" t="s">
        <v>215</v>
      </c>
      <c r="D182" s="63"/>
      <c r="E182" s="63"/>
      <c r="G182" s="128">
        <f t="shared" si="39"/>
        <v>0</v>
      </c>
      <c r="H182" s="112" t="e">
        <f t="shared" si="40"/>
        <v>#DIV/0!</v>
      </c>
    </row>
    <row r="183" spans="1:8" x14ac:dyDescent="0.25">
      <c r="A183" s="18"/>
      <c r="B183" s="12" t="s">
        <v>194</v>
      </c>
      <c r="C183" s="53" t="s">
        <v>195</v>
      </c>
      <c r="D183" s="17">
        <v>348</v>
      </c>
      <c r="E183" s="86">
        <f>'[1]BVC 2022 '!D183</f>
        <v>820</v>
      </c>
      <c r="G183" s="128">
        <f t="shared" si="39"/>
        <v>472</v>
      </c>
      <c r="H183" s="112">
        <f t="shared" si="40"/>
        <v>135.63218390804596</v>
      </c>
    </row>
    <row r="184" spans="1:8" x14ac:dyDescent="0.25">
      <c r="A184" s="18"/>
      <c r="B184" s="33" t="s">
        <v>196</v>
      </c>
      <c r="C184" s="54" t="s">
        <v>197</v>
      </c>
      <c r="D184" s="17">
        <f>318+1</f>
        <v>319</v>
      </c>
      <c r="E184" s="86">
        <f>'[1]BVC 2022 '!D184</f>
        <v>820</v>
      </c>
      <c r="G184" s="128">
        <f t="shared" si="39"/>
        <v>501</v>
      </c>
      <c r="H184" s="112">
        <f t="shared" si="40"/>
        <v>157.05329153605015</v>
      </c>
    </row>
    <row r="185" spans="1:8" x14ac:dyDescent="0.25">
      <c r="A185" s="18" t="s">
        <v>30</v>
      </c>
      <c r="B185" s="11" t="s">
        <v>63</v>
      </c>
      <c r="C185" s="5" t="s">
        <v>216</v>
      </c>
      <c r="D185" s="63"/>
      <c r="E185" s="63"/>
      <c r="G185" s="128">
        <f t="shared" si="39"/>
        <v>0</v>
      </c>
      <c r="H185" s="112" t="e">
        <f t="shared" si="40"/>
        <v>#DIV/0!</v>
      </c>
    </row>
    <row r="186" spans="1:8" x14ac:dyDescent="0.25">
      <c r="A186" s="18"/>
      <c r="B186" s="12" t="s">
        <v>194</v>
      </c>
      <c r="C186" s="53" t="s">
        <v>195</v>
      </c>
      <c r="D186" s="17">
        <v>23945</v>
      </c>
      <c r="E186" s="86">
        <f>'[1]BVC 2022 '!D186</f>
        <v>34222</v>
      </c>
      <c r="G186" s="128">
        <f t="shared" si="39"/>
        <v>10277</v>
      </c>
      <c r="H186" s="112">
        <f t="shared" si="40"/>
        <v>42.919189809981205</v>
      </c>
    </row>
    <row r="187" spans="1:8" x14ac:dyDescent="0.25">
      <c r="A187" s="18"/>
      <c r="B187" s="33" t="s">
        <v>196</v>
      </c>
      <c r="C187" s="54" t="s">
        <v>197</v>
      </c>
      <c r="D187" s="17">
        <v>16414</v>
      </c>
      <c r="E187" s="86">
        <f>'[1]BVC 2022 '!D187</f>
        <v>34222</v>
      </c>
      <c r="G187" s="128">
        <f t="shared" si="39"/>
        <v>17808</v>
      </c>
      <c r="H187" s="112">
        <f t="shared" si="40"/>
        <v>108.49275009138539</v>
      </c>
    </row>
    <row r="188" spans="1:8" x14ac:dyDescent="0.25">
      <c r="A188" s="18" t="s">
        <v>30</v>
      </c>
      <c r="B188" s="11" t="s">
        <v>64</v>
      </c>
      <c r="C188" s="5" t="s">
        <v>217</v>
      </c>
      <c r="D188" s="63"/>
      <c r="E188" s="63"/>
      <c r="G188" s="128">
        <f t="shared" si="39"/>
        <v>0</v>
      </c>
      <c r="H188" s="112" t="e">
        <f t="shared" si="40"/>
        <v>#DIV/0!</v>
      </c>
    </row>
    <row r="189" spans="1:8" x14ac:dyDescent="0.25">
      <c r="A189" s="18"/>
      <c r="B189" s="12" t="s">
        <v>194</v>
      </c>
      <c r="C189" s="53" t="s">
        <v>195</v>
      </c>
      <c r="D189" s="17">
        <v>1170</v>
      </c>
      <c r="E189" s="86">
        <f>'[1]BVC 2022 '!D189</f>
        <v>1764</v>
      </c>
      <c r="G189" s="128">
        <f t="shared" si="39"/>
        <v>594</v>
      </c>
      <c r="H189" s="112">
        <f t="shared" si="40"/>
        <v>50.769230769230766</v>
      </c>
    </row>
    <row r="190" spans="1:8" x14ac:dyDescent="0.25">
      <c r="A190" s="18"/>
      <c r="B190" s="33" t="s">
        <v>196</v>
      </c>
      <c r="C190" s="54" t="s">
        <v>197</v>
      </c>
      <c r="D190" s="17">
        <v>959</v>
      </c>
      <c r="E190" s="86">
        <f>'[1]BVC 2022 '!D190</f>
        <v>1764</v>
      </c>
      <c r="G190" s="128">
        <f t="shared" si="39"/>
        <v>805</v>
      </c>
      <c r="H190" s="112">
        <f t="shared" si="40"/>
        <v>83.941605839416056</v>
      </c>
    </row>
    <row r="191" spans="1:8" x14ac:dyDescent="0.25">
      <c r="A191" s="18" t="s">
        <v>30</v>
      </c>
      <c r="B191" s="11" t="s">
        <v>65</v>
      </c>
      <c r="C191" s="5" t="s">
        <v>218</v>
      </c>
      <c r="D191" s="63"/>
      <c r="E191" s="63"/>
      <c r="G191" s="128">
        <f t="shared" si="39"/>
        <v>0</v>
      </c>
      <c r="H191" s="112" t="e">
        <f t="shared" si="40"/>
        <v>#DIV/0!</v>
      </c>
    </row>
    <row r="192" spans="1:8" x14ac:dyDescent="0.25">
      <c r="A192" s="18"/>
      <c r="B192" s="12" t="s">
        <v>194</v>
      </c>
      <c r="C192" s="53" t="s">
        <v>195</v>
      </c>
      <c r="D192" s="88">
        <v>17604</v>
      </c>
      <c r="E192" s="86">
        <f>'[1]BVC 2022 '!D192</f>
        <v>28511</v>
      </c>
      <c r="G192" s="128">
        <f t="shared" si="39"/>
        <v>10907</v>
      </c>
      <c r="H192" s="112">
        <f t="shared" si="40"/>
        <v>61.957509656896157</v>
      </c>
    </row>
    <row r="193" spans="1:8" x14ac:dyDescent="0.25">
      <c r="A193" s="18"/>
      <c r="B193" s="33" t="s">
        <v>196</v>
      </c>
      <c r="C193" s="54" t="s">
        <v>197</v>
      </c>
      <c r="D193" s="88">
        <v>14463</v>
      </c>
      <c r="E193" s="86">
        <f>'[1]BVC 2022 '!D193</f>
        <v>28511</v>
      </c>
      <c r="G193" s="128">
        <f t="shared" si="39"/>
        <v>14048</v>
      </c>
      <c r="H193" s="112">
        <f t="shared" si="40"/>
        <v>97.130609140565582</v>
      </c>
    </row>
    <row r="194" spans="1:8" x14ac:dyDescent="0.25">
      <c r="A194" s="18" t="s">
        <v>30</v>
      </c>
      <c r="B194" s="11" t="s">
        <v>66</v>
      </c>
      <c r="C194" s="5" t="s">
        <v>67</v>
      </c>
      <c r="D194" s="63"/>
      <c r="E194" s="63"/>
      <c r="G194" s="128">
        <f t="shared" si="39"/>
        <v>0</v>
      </c>
      <c r="H194" s="112" t="e">
        <f t="shared" si="40"/>
        <v>#DIV/0!</v>
      </c>
    </row>
    <row r="195" spans="1:8" x14ac:dyDescent="0.25">
      <c r="A195" s="18"/>
      <c r="B195" s="12" t="s">
        <v>194</v>
      </c>
      <c r="C195" s="53" t="s">
        <v>195</v>
      </c>
      <c r="D195" s="17">
        <v>3405</v>
      </c>
      <c r="E195" s="86">
        <f>'[1]BVC 2022 '!D195</f>
        <v>12173</v>
      </c>
      <c r="G195" s="128">
        <f t="shared" si="39"/>
        <v>8768</v>
      </c>
      <c r="H195" s="112">
        <f t="shared" si="40"/>
        <v>257.50367107195302</v>
      </c>
    </row>
    <row r="196" spans="1:8" x14ac:dyDescent="0.25">
      <c r="A196" s="18"/>
      <c r="B196" s="33" t="s">
        <v>196</v>
      </c>
      <c r="C196" s="54" t="s">
        <v>197</v>
      </c>
      <c r="D196" s="17">
        <v>2577</v>
      </c>
      <c r="E196" s="86">
        <f>'[1]BVC 2022 '!D196</f>
        <v>12173</v>
      </c>
      <c r="G196" s="128">
        <f t="shared" si="39"/>
        <v>9596</v>
      </c>
      <c r="H196" s="112">
        <f t="shared" si="40"/>
        <v>372.37097400077607</v>
      </c>
    </row>
    <row r="197" spans="1:8" x14ac:dyDescent="0.25">
      <c r="A197" s="18" t="s">
        <v>30</v>
      </c>
      <c r="B197" s="11" t="s">
        <v>68</v>
      </c>
      <c r="C197" s="5" t="s">
        <v>69</v>
      </c>
      <c r="D197" s="63"/>
      <c r="E197" s="63"/>
      <c r="G197" s="128">
        <f t="shared" si="39"/>
        <v>0</v>
      </c>
      <c r="H197" s="112" t="e">
        <f t="shared" si="40"/>
        <v>#DIV/0!</v>
      </c>
    </row>
    <row r="198" spans="1:8" x14ac:dyDescent="0.25">
      <c r="A198" s="18"/>
      <c r="B198" s="12" t="s">
        <v>194</v>
      </c>
      <c r="C198" s="53" t="s">
        <v>195</v>
      </c>
      <c r="D198" s="17">
        <v>127</v>
      </c>
      <c r="E198" s="86">
        <f>'[1]BVC 2022 '!D198</f>
        <v>299</v>
      </c>
      <c r="G198" s="128">
        <f t="shared" si="39"/>
        <v>172</v>
      </c>
      <c r="H198" s="112">
        <f t="shared" si="40"/>
        <v>135.43307086614175</v>
      </c>
    </row>
    <row r="199" spans="1:8" x14ac:dyDescent="0.25">
      <c r="A199" s="18"/>
      <c r="B199" s="33" t="s">
        <v>196</v>
      </c>
      <c r="C199" s="54" t="s">
        <v>197</v>
      </c>
      <c r="D199" s="17">
        <v>121</v>
      </c>
      <c r="E199" s="86">
        <f>'[1]BVC 2022 '!D199</f>
        <v>299</v>
      </c>
      <c r="G199" s="128">
        <f t="shared" si="39"/>
        <v>178</v>
      </c>
      <c r="H199" s="112">
        <f t="shared" si="40"/>
        <v>147.10743801652893</v>
      </c>
    </row>
    <row r="200" spans="1:8" x14ac:dyDescent="0.25">
      <c r="A200" s="18" t="s">
        <v>30</v>
      </c>
      <c r="B200" s="11" t="s">
        <v>70</v>
      </c>
      <c r="C200" s="5" t="s">
        <v>219</v>
      </c>
      <c r="D200" s="63"/>
      <c r="E200" s="63"/>
      <c r="G200" s="128">
        <f t="shared" si="39"/>
        <v>0</v>
      </c>
      <c r="H200" s="112" t="e">
        <f t="shared" si="40"/>
        <v>#DIV/0!</v>
      </c>
    </row>
    <row r="201" spans="1:8" x14ac:dyDescent="0.25">
      <c r="A201" s="18"/>
      <c r="B201" s="12" t="s">
        <v>194</v>
      </c>
      <c r="C201" s="53" t="s">
        <v>195</v>
      </c>
      <c r="D201" s="17">
        <v>3730</v>
      </c>
      <c r="E201" s="86">
        <f>'[1]BVC 2022 '!D201</f>
        <v>5547</v>
      </c>
      <c r="G201" s="128">
        <f t="shared" si="39"/>
        <v>1817</v>
      </c>
      <c r="H201" s="112">
        <f t="shared" si="40"/>
        <v>48.713136729222519</v>
      </c>
    </row>
    <row r="202" spans="1:8" x14ac:dyDescent="0.25">
      <c r="A202" s="18"/>
      <c r="B202" s="33" t="s">
        <v>196</v>
      </c>
      <c r="C202" s="54" t="s">
        <v>197</v>
      </c>
      <c r="D202" s="17">
        <v>2742</v>
      </c>
      <c r="E202" s="86">
        <f>'[1]BVC 2022 '!D202</f>
        <v>5547</v>
      </c>
      <c r="G202" s="128">
        <f t="shared" ref="G202:G265" si="45">E202-D202</f>
        <v>2805</v>
      </c>
      <c r="H202" s="112">
        <f t="shared" ref="H202:H265" si="46">G202/D202*100</f>
        <v>102.29759299781182</v>
      </c>
    </row>
    <row r="203" spans="1:8" x14ac:dyDescent="0.25">
      <c r="A203" s="18" t="s">
        <v>30</v>
      </c>
      <c r="B203" s="11" t="s">
        <v>71</v>
      </c>
      <c r="C203" s="5" t="s">
        <v>220</v>
      </c>
      <c r="D203" s="63"/>
      <c r="E203" s="63"/>
      <c r="G203" s="128">
        <f t="shared" si="45"/>
        <v>0</v>
      </c>
      <c r="H203" s="112" t="e">
        <f t="shared" si="46"/>
        <v>#DIV/0!</v>
      </c>
    </row>
    <row r="204" spans="1:8" x14ac:dyDescent="0.25">
      <c r="A204" s="18"/>
      <c r="B204" s="12" t="s">
        <v>194</v>
      </c>
      <c r="C204" s="53" t="s">
        <v>195</v>
      </c>
      <c r="D204" s="88">
        <v>8603</v>
      </c>
      <c r="E204" s="86">
        <f>'[1]BVC 2022 '!D204</f>
        <v>17592</v>
      </c>
      <c r="G204" s="128">
        <f t="shared" si="45"/>
        <v>8989</v>
      </c>
      <c r="H204" s="112">
        <f t="shared" si="46"/>
        <v>104.48680692781586</v>
      </c>
    </row>
    <row r="205" spans="1:8" x14ac:dyDescent="0.25">
      <c r="A205" s="18"/>
      <c r="B205" s="33" t="s">
        <v>196</v>
      </c>
      <c r="C205" s="54" t="s">
        <v>197</v>
      </c>
      <c r="D205" s="88">
        <f>6612+1</f>
        <v>6613</v>
      </c>
      <c r="E205" s="86">
        <f>'[1]BVC 2022 '!D205</f>
        <v>17592</v>
      </c>
      <c r="G205" s="128">
        <f t="shared" si="45"/>
        <v>10979</v>
      </c>
      <c r="H205" s="112">
        <f t="shared" si="46"/>
        <v>166.02147285649477</v>
      </c>
    </row>
    <row r="206" spans="1:8" x14ac:dyDescent="0.25">
      <c r="A206" s="18" t="s">
        <v>30</v>
      </c>
      <c r="B206" s="11" t="s">
        <v>72</v>
      </c>
      <c r="C206" s="5" t="s">
        <v>221</v>
      </c>
      <c r="D206" s="63"/>
      <c r="E206" s="63"/>
      <c r="G206" s="128">
        <f t="shared" si="45"/>
        <v>0</v>
      </c>
      <c r="H206" s="112" t="e">
        <f t="shared" si="46"/>
        <v>#DIV/0!</v>
      </c>
    </row>
    <row r="207" spans="1:8" x14ac:dyDescent="0.25">
      <c r="A207" s="18"/>
      <c r="B207" s="12" t="s">
        <v>194</v>
      </c>
      <c r="C207" s="53" t="s">
        <v>195</v>
      </c>
      <c r="D207" s="17">
        <v>15175</v>
      </c>
      <c r="E207" s="86">
        <f>'[1]BVC 2022 '!D207</f>
        <v>24966</v>
      </c>
      <c r="G207" s="128">
        <f t="shared" si="45"/>
        <v>9791</v>
      </c>
      <c r="H207" s="112">
        <f t="shared" si="46"/>
        <v>64.520593080724879</v>
      </c>
    </row>
    <row r="208" spans="1:8" x14ac:dyDescent="0.25">
      <c r="A208" s="18"/>
      <c r="B208" s="33" t="s">
        <v>196</v>
      </c>
      <c r="C208" s="54" t="s">
        <v>197</v>
      </c>
      <c r="D208" s="17">
        <v>11938</v>
      </c>
      <c r="E208" s="86">
        <f>'[1]BVC 2022 '!D208</f>
        <v>24966</v>
      </c>
      <c r="G208" s="128">
        <f t="shared" si="45"/>
        <v>13028</v>
      </c>
      <c r="H208" s="112">
        <f t="shared" si="46"/>
        <v>109.13050762271736</v>
      </c>
    </row>
    <row r="209" spans="1:8" x14ac:dyDescent="0.25">
      <c r="A209" s="28" t="s">
        <v>30</v>
      </c>
      <c r="B209" s="44" t="s">
        <v>73</v>
      </c>
      <c r="C209" s="6" t="s">
        <v>222</v>
      </c>
      <c r="D209" s="20"/>
      <c r="E209" s="20"/>
      <c r="G209" s="128">
        <f t="shared" si="45"/>
        <v>0</v>
      </c>
      <c r="H209" s="112" t="e">
        <f t="shared" si="46"/>
        <v>#DIV/0!</v>
      </c>
    </row>
    <row r="210" spans="1:8" x14ac:dyDescent="0.25">
      <c r="A210" s="28"/>
      <c r="B210" s="15" t="s">
        <v>194</v>
      </c>
      <c r="C210" s="25" t="s">
        <v>195</v>
      </c>
      <c r="D210" s="16">
        <v>6319</v>
      </c>
      <c r="E210" s="16">
        <f>'[1]BVC 2022 '!D210</f>
        <v>23765</v>
      </c>
      <c r="G210" s="128">
        <f t="shared" si="45"/>
        <v>17446</v>
      </c>
      <c r="H210" s="112">
        <f t="shared" si="46"/>
        <v>276.08798860579202</v>
      </c>
    </row>
    <row r="211" spans="1:8" x14ac:dyDescent="0.25">
      <c r="A211" s="28"/>
      <c r="B211" s="15" t="s">
        <v>196</v>
      </c>
      <c r="C211" s="25" t="s">
        <v>197</v>
      </c>
      <c r="D211" s="16">
        <v>4292</v>
      </c>
      <c r="E211" s="16">
        <f>'[1]BVC 2022 '!D211</f>
        <v>23765</v>
      </c>
      <c r="G211" s="128">
        <f t="shared" si="45"/>
        <v>19473</v>
      </c>
      <c r="H211" s="112">
        <f t="shared" si="46"/>
        <v>453.70456663560111</v>
      </c>
    </row>
    <row r="212" spans="1:8" x14ac:dyDescent="0.25">
      <c r="A212" s="15" t="s">
        <v>30</v>
      </c>
      <c r="B212" s="45" t="s">
        <v>74</v>
      </c>
      <c r="C212" s="2" t="s">
        <v>223</v>
      </c>
      <c r="D212" s="16"/>
      <c r="E212" s="16"/>
      <c r="G212" s="128">
        <f t="shared" si="45"/>
        <v>0</v>
      </c>
      <c r="H212" s="112" t="e">
        <f t="shared" si="46"/>
        <v>#DIV/0!</v>
      </c>
    </row>
    <row r="213" spans="1:8" x14ac:dyDescent="0.25">
      <c r="A213" s="15"/>
      <c r="B213" s="15" t="s">
        <v>194</v>
      </c>
      <c r="C213" s="25" t="s">
        <v>195</v>
      </c>
      <c r="D213" s="16">
        <f t="shared" ref="D213:E214" si="47">D216</f>
        <v>307</v>
      </c>
      <c r="E213" s="16">
        <f t="shared" si="47"/>
        <v>421</v>
      </c>
      <c r="G213" s="128">
        <f t="shared" si="45"/>
        <v>114</v>
      </c>
      <c r="H213" s="112">
        <f t="shared" si="46"/>
        <v>37.133550488599347</v>
      </c>
    </row>
    <row r="214" spans="1:8" x14ac:dyDescent="0.25">
      <c r="A214" s="15"/>
      <c r="B214" s="15" t="s">
        <v>196</v>
      </c>
      <c r="C214" s="25" t="s">
        <v>197</v>
      </c>
      <c r="D214" s="20">
        <f t="shared" si="47"/>
        <v>238</v>
      </c>
      <c r="E214" s="20">
        <f t="shared" si="47"/>
        <v>421</v>
      </c>
      <c r="G214" s="128">
        <f t="shared" si="45"/>
        <v>183</v>
      </c>
      <c r="H214" s="112">
        <f t="shared" si="46"/>
        <v>76.890756302521012</v>
      </c>
    </row>
    <row r="215" spans="1:8" x14ac:dyDescent="0.25">
      <c r="A215" s="18" t="s">
        <v>30</v>
      </c>
      <c r="B215" s="11" t="s">
        <v>75</v>
      </c>
      <c r="C215" s="5" t="s">
        <v>224</v>
      </c>
      <c r="D215" s="17"/>
      <c r="E215" s="17"/>
      <c r="G215" s="128">
        <f t="shared" si="45"/>
        <v>0</v>
      </c>
      <c r="H215" s="112" t="e">
        <f t="shared" si="46"/>
        <v>#DIV/0!</v>
      </c>
    </row>
    <row r="216" spans="1:8" x14ac:dyDescent="0.25">
      <c r="A216" s="18"/>
      <c r="B216" s="12" t="s">
        <v>194</v>
      </c>
      <c r="C216" s="53" t="s">
        <v>195</v>
      </c>
      <c r="D216" s="17">
        <v>307</v>
      </c>
      <c r="E216" s="86">
        <f>'[1]BVC 2022 '!D216</f>
        <v>421</v>
      </c>
      <c r="G216" s="128">
        <f t="shared" si="45"/>
        <v>114</v>
      </c>
      <c r="H216" s="112">
        <f t="shared" si="46"/>
        <v>37.133550488599347</v>
      </c>
    </row>
    <row r="217" spans="1:8" x14ac:dyDescent="0.25">
      <c r="A217" s="18"/>
      <c r="B217" s="33" t="s">
        <v>196</v>
      </c>
      <c r="C217" s="54" t="s">
        <v>197</v>
      </c>
      <c r="D217" s="17">
        <v>238</v>
      </c>
      <c r="E217" s="86">
        <f>'[1]BVC 2022 '!D217</f>
        <v>421</v>
      </c>
      <c r="G217" s="128">
        <f t="shared" si="45"/>
        <v>183</v>
      </c>
      <c r="H217" s="112">
        <f t="shared" si="46"/>
        <v>76.890756302521012</v>
      </c>
    </row>
    <row r="218" spans="1:8" x14ac:dyDescent="0.25">
      <c r="A218" s="15" t="s">
        <v>30</v>
      </c>
      <c r="B218" s="43" t="s">
        <v>76</v>
      </c>
      <c r="C218" s="2" t="s">
        <v>77</v>
      </c>
      <c r="D218" s="16"/>
      <c r="E218" s="16"/>
      <c r="G218" s="128">
        <f t="shared" si="45"/>
        <v>0</v>
      </c>
      <c r="H218" s="112" t="e">
        <f t="shared" si="46"/>
        <v>#DIV/0!</v>
      </c>
    </row>
    <row r="219" spans="1:8" x14ac:dyDescent="0.25">
      <c r="A219" s="15"/>
      <c r="B219" s="15" t="s">
        <v>194</v>
      </c>
      <c r="C219" s="25" t="s">
        <v>195</v>
      </c>
      <c r="D219" s="16">
        <f t="shared" ref="D219:E220" si="48">D222+D225+D228+D231</f>
        <v>730</v>
      </c>
      <c r="E219" s="16">
        <f t="shared" si="48"/>
        <v>1699</v>
      </c>
      <c r="G219" s="128">
        <f t="shared" si="45"/>
        <v>969</v>
      </c>
      <c r="H219" s="112">
        <f t="shared" si="46"/>
        <v>132.73972602739724</v>
      </c>
    </row>
    <row r="220" spans="1:8" x14ac:dyDescent="0.25">
      <c r="A220" s="15"/>
      <c r="B220" s="15" t="s">
        <v>196</v>
      </c>
      <c r="C220" s="25" t="s">
        <v>197</v>
      </c>
      <c r="D220" s="16">
        <f t="shared" si="48"/>
        <v>622</v>
      </c>
      <c r="E220" s="16">
        <f t="shared" si="48"/>
        <v>1699</v>
      </c>
      <c r="G220" s="128">
        <f t="shared" si="45"/>
        <v>1077</v>
      </c>
      <c r="H220" s="112">
        <f t="shared" si="46"/>
        <v>173.15112540192925</v>
      </c>
    </row>
    <row r="221" spans="1:8" x14ac:dyDescent="0.25">
      <c r="A221" s="18" t="s">
        <v>30</v>
      </c>
      <c r="B221" s="11" t="s">
        <v>78</v>
      </c>
      <c r="C221" s="5" t="s">
        <v>79</v>
      </c>
      <c r="D221" s="17"/>
      <c r="E221" s="17"/>
      <c r="G221" s="128">
        <f t="shared" si="45"/>
        <v>0</v>
      </c>
      <c r="H221" s="112" t="e">
        <f t="shared" si="46"/>
        <v>#DIV/0!</v>
      </c>
    </row>
    <row r="222" spans="1:8" x14ac:dyDescent="0.25">
      <c r="A222" s="18"/>
      <c r="B222" s="12" t="s">
        <v>194</v>
      </c>
      <c r="C222" s="53" t="s">
        <v>195</v>
      </c>
      <c r="D222" s="17">
        <v>6</v>
      </c>
      <c r="E222" s="86">
        <f>'[1]BVC 2022 '!D222</f>
        <v>13</v>
      </c>
      <c r="G222" s="128">
        <f t="shared" si="45"/>
        <v>7</v>
      </c>
      <c r="H222" s="112">
        <f t="shared" si="46"/>
        <v>116.66666666666667</v>
      </c>
    </row>
    <row r="223" spans="1:8" x14ac:dyDescent="0.25">
      <c r="A223" s="18"/>
      <c r="B223" s="33" t="s">
        <v>196</v>
      </c>
      <c r="C223" s="54" t="s">
        <v>197</v>
      </c>
      <c r="D223" s="17">
        <v>4</v>
      </c>
      <c r="E223" s="86">
        <f>'[1]BVC 2022 '!D223</f>
        <v>13</v>
      </c>
      <c r="G223" s="128">
        <f t="shared" si="45"/>
        <v>9</v>
      </c>
      <c r="H223" s="112">
        <f t="shared" si="46"/>
        <v>225</v>
      </c>
    </row>
    <row r="224" spans="1:8" x14ac:dyDescent="0.25">
      <c r="A224" s="18" t="s">
        <v>30</v>
      </c>
      <c r="B224" s="11" t="s">
        <v>80</v>
      </c>
      <c r="C224" s="5" t="s">
        <v>81</v>
      </c>
      <c r="D224" s="17"/>
      <c r="E224" s="17"/>
      <c r="G224" s="128">
        <f t="shared" si="45"/>
        <v>0</v>
      </c>
      <c r="H224" s="112" t="e">
        <f t="shared" si="46"/>
        <v>#DIV/0!</v>
      </c>
    </row>
    <row r="225" spans="1:8" x14ac:dyDescent="0.25">
      <c r="A225" s="18"/>
      <c r="B225" s="12" t="s">
        <v>194</v>
      </c>
      <c r="C225" s="53" t="s">
        <v>195</v>
      </c>
      <c r="D225" s="17">
        <v>14</v>
      </c>
      <c r="E225" s="86">
        <f>'[1]BVC 2022 '!D225</f>
        <v>98</v>
      </c>
      <c r="G225" s="128">
        <f t="shared" si="45"/>
        <v>84</v>
      </c>
      <c r="H225" s="112">
        <f t="shared" si="46"/>
        <v>600</v>
      </c>
    </row>
    <row r="226" spans="1:8" x14ac:dyDescent="0.25">
      <c r="A226" s="18"/>
      <c r="B226" s="33" t="s">
        <v>196</v>
      </c>
      <c r="C226" s="54" t="s">
        <v>197</v>
      </c>
      <c r="D226" s="17">
        <v>10</v>
      </c>
      <c r="E226" s="86">
        <f>'[1]BVC 2022 '!D226</f>
        <v>98</v>
      </c>
      <c r="G226" s="128">
        <f t="shared" si="45"/>
        <v>88</v>
      </c>
      <c r="H226" s="112">
        <f t="shared" si="46"/>
        <v>880.00000000000011</v>
      </c>
    </row>
    <row r="227" spans="1:8" x14ac:dyDescent="0.25">
      <c r="A227" s="18" t="s">
        <v>30</v>
      </c>
      <c r="B227" s="11" t="s">
        <v>82</v>
      </c>
      <c r="C227" s="5" t="s">
        <v>83</v>
      </c>
      <c r="D227" s="17"/>
      <c r="E227" s="17"/>
      <c r="G227" s="128">
        <f t="shared" si="45"/>
        <v>0</v>
      </c>
      <c r="H227" s="112" t="e">
        <f t="shared" si="46"/>
        <v>#DIV/0!</v>
      </c>
    </row>
    <row r="228" spans="1:8" x14ac:dyDescent="0.25">
      <c r="A228" s="18"/>
      <c r="B228" s="12" t="s">
        <v>194</v>
      </c>
      <c r="C228" s="53" t="s">
        <v>195</v>
      </c>
      <c r="D228" s="17">
        <v>709</v>
      </c>
      <c r="E228" s="86">
        <f>'[1]BVC 2022 '!D228</f>
        <v>1550</v>
      </c>
      <c r="G228" s="128">
        <f t="shared" si="45"/>
        <v>841</v>
      </c>
      <c r="H228" s="112">
        <f t="shared" si="46"/>
        <v>118.61777150916784</v>
      </c>
    </row>
    <row r="229" spans="1:8" x14ac:dyDescent="0.25">
      <c r="A229" s="18"/>
      <c r="B229" s="33" t="s">
        <v>196</v>
      </c>
      <c r="C229" s="54" t="s">
        <v>197</v>
      </c>
      <c r="D229" s="17">
        <v>607</v>
      </c>
      <c r="E229" s="86">
        <f>'[1]BVC 2022 '!D229</f>
        <v>1550</v>
      </c>
      <c r="G229" s="128">
        <f t="shared" si="45"/>
        <v>943</v>
      </c>
      <c r="H229" s="112">
        <f t="shared" si="46"/>
        <v>155.35420098846788</v>
      </c>
    </row>
    <row r="230" spans="1:8" x14ac:dyDescent="0.25">
      <c r="A230" s="18" t="s">
        <v>30</v>
      </c>
      <c r="B230" s="11" t="s">
        <v>84</v>
      </c>
      <c r="C230" s="5" t="s">
        <v>225</v>
      </c>
      <c r="D230" s="17"/>
      <c r="E230" s="17"/>
      <c r="G230" s="128">
        <f t="shared" si="45"/>
        <v>0</v>
      </c>
      <c r="H230" s="112" t="e">
        <f t="shared" si="46"/>
        <v>#DIV/0!</v>
      </c>
    </row>
    <row r="231" spans="1:8" x14ac:dyDescent="0.25">
      <c r="A231" s="18"/>
      <c r="B231" s="12" t="s">
        <v>194</v>
      </c>
      <c r="C231" s="53" t="s">
        <v>195</v>
      </c>
      <c r="D231" s="17">
        <v>1</v>
      </c>
      <c r="E231" s="86">
        <f>'[1]BVC 2022 '!D231</f>
        <v>38</v>
      </c>
      <c r="G231" s="128">
        <f t="shared" si="45"/>
        <v>37</v>
      </c>
      <c r="H231" s="112">
        <f t="shared" si="46"/>
        <v>3700</v>
      </c>
    </row>
    <row r="232" spans="1:8" x14ac:dyDescent="0.25">
      <c r="A232" s="18"/>
      <c r="B232" s="33" t="s">
        <v>196</v>
      </c>
      <c r="C232" s="54" t="s">
        <v>197</v>
      </c>
      <c r="D232" s="17">
        <v>1</v>
      </c>
      <c r="E232" s="86">
        <f>'[1]BVC 2022 '!D232</f>
        <v>38</v>
      </c>
      <c r="G232" s="128">
        <f t="shared" si="45"/>
        <v>37</v>
      </c>
      <c r="H232" s="112">
        <f t="shared" si="46"/>
        <v>3700</v>
      </c>
    </row>
    <row r="233" spans="1:8" x14ac:dyDescent="0.25">
      <c r="A233" s="15" t="s">
        <v>30</v>
      </c>
      <c r="B233" s="43" t="s">
        <v>85</v>
      </c>
      <c r="C233" s="2" t="s">
        <v>86</v>
      </c>
      <c r="D233" s="16"/>
      <c r="E233" s="16"/>
      <c r="G233" s="128">
        <f t="shared" si="45"/>
        <v>0</v>
      </c>
      <c r="H233" s="112" t="e">
        <f t="shared" si="46"/>
        <v>#DIV/0!</v>
      </c>
    </row>
    <row r="234" spans="1:8" x14ac:dyDescent="0.25">
      <c r="A234" s="15"/>
      <c r="B234" s="15" t="s">
        <v>194</v>
      </c>
      <c r="C234" s="25" t="s">
        <v>195</v>
      </c>
      <c r="D234" s="16">
        <f t="shared" ref="D234:E235" si="49">D237+D240+D243</f>
        <v>1950</v>
      </c>
      <c r="E234" s="16">
        <f t="shared" si="49"/>
        <v>5435</v>
      </c>
      <c r="G234" s="128">
        <f t="shared" si="45"/>
        <v>3485</v>
      </c>
      <c r="H234" s="112">
        <f t="shared" si="46"/>
        <v>178.71794871794873</v>
      </c>
    </row>
    <row r="235" spans="1:8" x14ac:dyDescent="0.25">
      <c r="A235" s="15"/>
      <c r="B235" s="15" t="s">
        <v>196</v>
      </c>
      <c r="C235" s="25" t="s">
        <v>197</v>
      </c>
      <c r="D235" s="16">
        <f t="shared" si="49"/>
        <v>1679</v>
      </c>
      <c r="E235" s="16">
        <f t="shared" si="49"/>
        <v>5435</v>
      </c>
      <c r="G235" s="128">
        <f t="shared" si="45"/>
        <v>3756</v>
      </c>
      <c r="H235" s="112">
        <f t="shared" si="46"/>
        <v>223.70458606313281</v>
      </c>
    </row>
    <row r="236" spans="1:8" x14ac:dyDescent="0.25">
      <c r="A236" s="18" t="s">
        <v>30</v>
      </c>
      <c r="B236" s="11" t="s">
        <v>87</v>
      </c>
      <c r="C236" s="5" t="s">
        <v>226</v>
      </c>
      <c r="D236" s="17"/>
      <c r="E236" s="17"/>
      <c r="G236" s="128">
        <f t="shared" si="45"/>
        <v>0</v>
      </c>
      <c r="H236" s="112" t="e">
        <f t="shared" si="46"/>
        <v>#DIV/0!</v>
      </c>
    </row>
    <row r="237" spans="1:8" x14ac:dyDescent="0.25">
      <c r="A237" s="18"/>
      <c r="B237" s="12" t="s">
        <v>194</v>
      </c>
      <c r="C237" s="53" t="s">
        <v>195</v>
      </c>
      <c r="D237" s="17">
        <v>338</v>
      </c>
      <c r="E237" s="86">
        <f>'[1]BVC 2022 '!D237</f>
        <v>1342</v>
      </c>
      <c r="G237" s="128">
        <f t="shared" si="45"/>
        <v>1004</v>
      </c>
      <c r="H237" s="112">
        <f t="shared" si="46"/>
        <v>297.04142011834318</v>
      </c>
    </row>
    <row r="238" spans="1:8" x14ac:dyDescent="0.25">
      <c r="A238" s="18"/>
      <c r="B238" s="33" t="s">
        <v>196</v>
      </c>
      <c r="C238" s="54" t="s">
        <v>197</v>
      </c>
      <c r="D238" s="17">
        <v>215</v>
      </c>
      <c r="E238" s="86">
        <f>'[1]BVC 2022 '!D238</f>
        <v>1342</v>
      </c>
      <c r="G238" s="128">
        <f t="shared" si="45"/>
        <v>1127</v>
      </c>
      <c r="H238" s="112">
        <f t="shared" si="46"/>
        <v>524.18604651162786</v>
      </c>
    </row>
    <row r="239" spans="1:8" x14ac:dyDescent="0.25">
      <c r="A239" s="18" t="s">
        <v>30</v>
      </c>
      <c r="B239" s="11" t="s">
        <v>88</v>
      </c>
      <c r="C239" s="5" t="s">
        <v>227</v>
      </c>
      <c r="D239" s="17"/>
      <c r="E239" s="17"/>
      <c r="G239" s="128">
        <f t="shared" si="45"/>
        <v>0</v>
      </c>
      <c r="H239" s="112" t="e">
        <f t="shared" si="46"/>
        <v>#DIV/0!</v>
      </c>
    </row>
    <row r="240" spans="1:8" x14ac:dyDescent="0.25">
      <c r="A240" s="18"/>
      <c r="B240" s="12" t="s">
        <v>194</v>
      </c>
      <c r="C240" s="53" t="s">
        <v>195</v>
      </c>
      <c r="D240" s="17">
        <f>22-1</f>
        <v>21</v>
      </c>
      <c r="E240" s="86">
        <f>'[1]BVC 2022 '!D240</f>
        <v>89</v>
      </c>
      <c r="G240" s="128">
        <f t="shared" si="45"/>
        <v>68</v>
      </c>
      <c r="H240" s="112">
        <f t="shared" si="46"/>
        <v>323.8095238095238</v>
      </c>
    </row>
    <row r="241" spans="1:8" x14ac:dyDescent="0.25">
      <c r="A241" s="18"/>
      <c r="B241" s="33" t="s">
        <v>196</v>
      </c>
      <c r="C241" s="54" t="s">
        <v>197</v>
      </c>
      <c r="D241" s="17">
        <v>18</v>
      </c>
      <c r="E241" s="86">
        <f>'[1]BVC 2022 '!D241</f>
        <v>89</v>
      </c>
      <c r="G241" s="128">
        <f t="shared" si="45"/>
        <v>71</v>
      </c>
      <c r="H241" s="112">
        <f t="shared" si="46"/>
        <v>394.44444444444446</v>
      </c>
    </row>
    <row r="242" spans="1:8" x14ac:dyDescent="0.25">
      <c r="A242" s="18" t="s">
        <v>30</v>
      </c>
      <c r="B242" s="11" t="s">
        <v>89</v>
      </c>
      <c r="C242" s="5" t="s">
        <v>90</v>
      </c>
      <c r="D242" s="17"/>
      <c r="E242" s="17"/>
      <c r="G242" s="128">
        <f t="shared" si="45"/>
        <v>0</v>
      </c>
      <c r="H242" s="112" t="e">
        <f t="shared" si="46"/>
        <v>#DIV/0!</v>
      </c>
    </row>
    <row r="243" spans="1:8" x14ac:dyDescent="0.25">
      <c r="A243" s="18"/>
      <c r="B243" s="12" t="s">
        <v>194</v>
      </c>
      <c r="C243" s="53" t="s">
        <v>195</v>
      </c>
      <c r="D243" s="17">
        <v>1591</v>
      </c>
      <c r="E243" s="86">
        <f>'[1]BVC 2022 '!D243</f>
        <v>4004</v>
      </c>
      <c r="G243" s="128">
        <f t="shared" si="45"/>
        <v>2413</v>
      </c>
      <c r="H243" s="112">
        <f t="shared" si="46"/>
        <v>151.66561910747959</v>
      </c>
    </row>
    <row r="244" spans="1:8" x14ac:dyDescent="0.25">
      <c r="A244" s="18"/>
      <c r="B244" s="33" t="s">
        <v>196</v>
      </c>
      <c r="C244" s="54" t="s">
        <v>197</v>
      </c>
      <c r="D244" s="17">
        <v>1446</v>
      </c>
      <c r="E244" s="86">
        <f>'[1]BVC 2022 '!D244</f>
        <v>4004</v>
      </c>
      <c r="G244" s="128">
        <f t="shared" si="45"/>
        <v>2558</v>
      </c>
      <c r="H244" s="112">
        <f t="shared" si="46"/>
        <v>176.90179806362377</v>
      </c>
    </row>
    <row r="245" spans="1:8" x14ac:dyDescent="0.25">
      <c r="A245" s="15" t="s">
        <v>30</v>
      </c>
      <c r="B245" s="43" t="s">
        <v>91</v>
      </c>
      <c r="C245" s="2" t="s">
        <v>228</v>
      </c>
      <c r="D245" s="16"/>
      <c r="E245" s="16"/>
      <c r="G245" s="128">
        <f t="shared" si="45"/>
        <v>0</v>
      </c>
      <c r="H245" s="112" t="e">
        <f t="shared" si="46"/>
        <v>#DIV/0!</v>
      </c>
    </row>
    <row r="246" spans="1:8" x14ac:dyDescent="0.25">
      <c r="A246" s="15"/>
      <c r="B246" s="15" t="s">
        <v>194</v>
      </c>
      <c r="C246" s="25" t="s">
        <v>195</v>
      </c>
      <c r="D246" s="16">
        <f t="shared" ref="D246:E247" si="50">D249+D252</f>
        <v>1682</v>
      </c>
      <c r="E246" s="16">
        <f t="shared" si="50"/>
        <v>2813</v>
      </c>
      <c r="G246" s="128">
        <f t="shared" si="45"/>
        <v>1131</v>
      </c>
      <c r="H246" s="112">
        <f t="shared" si="46"/>
        <v>67.241379310344826</v>
      </c>
    </row>
    <row r="247" spans="1:8" x14ac:dyDescent="0.25">
      <c r="A247" s="15"/>
      <c r="B247" s="15" t="s">
        <v>196</v>
      </c>
      <c r="C247" s="25" t="s">
        <v>197</v>
      </c>
      <c r="D247" s="16">
        <f t="shared" si="50"/>
        <v>1516</v>
      </c>
      <c r="E247" s="16">
        <f t="shared" si="50"/>
        <v>2813</v>
      </c>
      <c r="G247" s="128">
        <f t="shared" si="45"/>
        <v>1297</v>
      </c>
      <c r="H247" s="112">
        <f t="shared" si="46"/>
        <v>85.554089709762536</v>
      </c>
    </row>
    <row r="248" spans="1:8" x14ac:dyDescent="0.25">
      <c r="A248" s="18" t="s">
        <v>30</v>
      </c>
      <c r="B248" s="11" t="s">
        <v>92</v>
      </c>
      <c r="C248" s="5" t="s">
        <v>229</v>
      </c>
      <c r="D248" s="17"/>
      <c r="E248" s="17"/>
      <c r="G248" s="128">
        <f t="shared" si="45"/>
        <v>0</v>
      </c>
      <c r="H248" s="112" t="e">
        <f t="shared" si="46"/>
        <v>#DIV/0!</v>
      </c>
    </row>
    <row r="249" spans="1:8" x14ac:dyDescent="0.25">
      <c r="A249" s="18"/>
      <c r="B249" s="12" t="s">
        <v>194</v>
      </c>
      <c r="C249" s="53" t="s">
        <v>195</v>
      </c>
      <c r="D249" s="17">
        <v>1539</v>
      </c>
      <c r="E249" s="86">
        <f>'[1]BVC 2022 '!D249</f>
        <v>2543</v>
      </c>
      <c r="G249" s="128">
        <f t="shared" si="45"/>
        <v>1004</v>
      </c>
      <c r="H249" s="112">
        <f t="shared" si="46"/>
        <v>65.237166991552954</v>
      </c>
    </row>
    <row r="250" spans="1:8" x14ac:dyDescent="0.25">
      <c r="A250" s="18"/>
      <c r="B250" s="33" t="s">
        <v>196</v>
      </c>
      <c r="C250" s="54" t="s">
        <v>197</v>
      </c>
      <c r="D250" s="17">
        <v>1406</v>
      </c>
      <c r="E250" s="86">
        <f>'[1]BVC 2022 '!D250</f>
        <v>2543</v>
      </c>
      <c r="G250" s="128">
        <f t="shared" si="45"/>
        <v>1137</v>
      </c>
      <c r="H250" s="112">
        <f t="shared" si="46"/>
        <v>80.867709815078243</v>
      </c>
    </row>
    <row r="251" spans="1:8" x14ac:dyDescent="0.25">
      <c r="A251" s="18" t="s">
        <v>30</v>
      </c>
      <c r="B251" s="11" t="s">
        <v>93</v>
      </c>
      <c r="C251" s="5" t="s">
        <v>230</v>
      </c>
      <c r="D251" s="17"/>
      <c r="E251" s="17"/>
      <c r="G251" s="128">
        <f t="shared" si="45"/>
        <v>0</v>
      </c>
      <c r="H251" s="112" t="e">
        <f t="shared" si="46"/>
        <v>#DIV/0!</v>
      </c>
    </row>
    <row r="252" spans="1:8" x14ac:dyDescent="0.25">
      <c r="A252" s="18"/>
      <c r="B252" s="12" t="s">
        <v>194</v>
      </c>
      <c r="C252" s="53" t="s">
        <v>195</v>
      </c>
      <c r="D252" s="17">
        <v>143</v>
      </c>
      <c r="E252" s="86">
        <f>'[1]BVC 2022 '!D252</f>
        <v>270</v>
      </c>
      <c r="G252" s="128">
        <f t="shared" si="45"/>
        <v>127</v>
      </c>
      <c r="H252" s="112">
        <f t="shared" si="46"/>
        <v>88.811188811188813</v>
      </c>
    </row>
    <row r="253" spans="1:8" x14ac:dyDescent="0.25">
      <c r="A253" s="18"/>
      <c r="B253" s="33" t="s">
        <v>196</v>
      </c>
      <c r="C253" s="54" t="s">
        <v>197</v>
      </c>
      <c r="D253" s="17">
        <v>110</v>
      </c>
      <c r="E253" s="86">
        <f>'[1]BVC 2022 '!D253</f>
        <v>270</v>
      </c>
      <c r="G253" s="128">
        <f t="shared" si="45"/>
        <v>160</v>
      </c>
      <c r="H253" s="112">
        <f t="shared" si="46"/>
        <v>145.45454545454547</v>
      </c>
    </row>
    <row r="254" spans="1:8" x14ac:dyDescent="0.25">
      <c r="A254" s="28" t="s">
        <v>30</v>
      </c>
      <c r="B254" s="44" t="s">
        <v>94</v>
      </c>
      <c r="C254" s="6" t="s">
        <v>95</v>
      </c>
      <c r="D254" s="20"/>
      <c r="E254" s="20"/>
      <c r="G254" s="128">
        <f t="shared" si="45"/>
        <v>0</v>
      </c>
      <c r="H254" s="112" t="e">
        <f t="shared" si="46"/>
        <v>#DIV/0!</v>
      </c>
    </row>
    <row r="255" spans="1:8" x14ac:dyDescent="0.25">
      <c r="A255" s="28"/>
      <c r="B255" s="15" t="s">
        <v>194</v>
      </c>
      <c r="C255" s="25" t="s">
        <v>195</v>
      </c>
      <c r="D255" s="20">
        <v>472</v>
      </c>
      <c r="E255" s="16">
        <f>'[1]BVC 2022 '!D255</f>
        <v>1676</v>
      </c>
      <c r="G255" s="128">
        <f t="shared" si="45"/>
        <v>1204</v>
      </c>
      <c r="H255" s="112">
        <f t="shared" si="46"/>
        <v>255.08474576271186</v>
      </c>
    </row>
    <row r="256" spans="1:8" x14ac:dyDescent="0.25">
      <c r="A256" s="28"/>
      <c r="B256" s="15" t="s">
        <v>196</v>
      </c>
      <c r="C256" s="25" t="s">
        <v>197</v>
      </c>
      <c r="D256" s="20">
        <v>382</v>
      </c>
      <c r="E256" s="16">
        <f>'[1]BVC 2022 '!D256</f>
        <v>1676</v>
      </c>
      <c r="G256" s="128">
        <f t="shared" si="45"/>
        <v>1294</v>
      </c>
      <c r="H256" s="112">
        <f t="shared" si="46"/>
        <v>338.74345549738217</v>
      </c>
    </row>
    <row r="257" spans="1:8" x14ac:dyDescent="0.25">
      <c r="A257" s="28" t="s">
        <v>30</v>
      </c>
      <c r="B257" s="44" t="s">
        <v>96</v>
      </c>
      <c r="C257" s="6" t="s">
        <v>231</v>
      </c>
      <c r="D257" s="20"/>
      <c r="E257" s="20"/>
      <c r="G257" s="128">
        <f t="shared" si="45"/>
        <v>0</v>
      </c>
      <c r="H257" s="112" t="e">
        <f t="shared" si="46"/>
        <v>#DIV/0!</v>
      </c>
    </row>
    <row r="258" spans="1:8" x14ac:dyDescent="0.25">
      <c r="A258" s="28"/>
      <c r="B258" s="15" t="s">
        <v>194</v>
      </c>
      <c r="C258" s="25" t="s">
        <v>195</v>
      </c>
      <c r="D258" s="20">
        <v>120</v>
      </c>
      <c r="E258" s="16">
        <f>'[1]BVC 2022 '!D258</f>
        <v>235</v>
      </c>
      <c r="G258" s="128">
        <f t="shared" si="45"/>
        <v>115</v>
      </c>
      <c r="H258" s="112">
        <f t="shared" si="46"/>
        <v>95.833333333333343</v>
      </c>
    </row>
    <row r="259" spans="1:8" x14ac:dyDescent="0.25">
      <c r="A259" s="28"/>
      <c r="B259" s="15" t="s">
        <v>196</v>
      </c>
      <c r="C259" s="25" t="s">
        <v>197</v>
      </c>
      <c r="D259" s="20">
        <v>65</v>
      </c>
      <c r="E259" s="16">
        <f>'[1]BVC 2022 '!D259</f>
        <v>235</v>
      </c>
      <c r="G259" s="128">
        <f t="shared" si="45"/>
        <v>170</v>
      </c>
      <c r="H259" s="112">
        <f t="shared" si="46"/>
        <v>261.53846153846155</v>
      </c>
    </row>
    <row r="260" spans="1:8" x14ac:dyDescent="0.25">
      <c r="A260" s="28" t="s">
        <v>30</v>
      </c>
      <c r="B260" s="44" t="s">
        <v>97</v>
      </c>
      <c r="C260" s="6" t="s">
        <v>232</v>
      </c>
      <c r="D260" s="20"/>
      <c r="E260" s="20"/>
      <c r="G260" s="128">
        <f t="shared" si="45"/>
        <v>0</v>
      </c>
      <c r="H260" s="112" t="e">
        <f t="shared" si="46"/>
        <v>#DIV/0!</v>
      </c>
    </row>
    <row r="261" spans="1:8" x14ac:dyDescent="0.25">
      <c r="A261" s="28"/>
      <c r="B261" s="15" t="s">
        <v>194</v>
      </c>
      <c r="C261" s="25" t="s">
        <v>195</v>
      </c>
      <c r="D261" s="20">
        <f>353+1</f>
        <v>354</v>
      </c>
      <c r="E261" s="16">
        <f>'[1]BVC 2022 '!D261</f>
        <v>2115</v>
      </c>
      <c r="G261" s="128">
        <f t="shared" si="45"/>
        <v>1761</v>
      </c>
      <c r="H261" s="112">
        <f t="shared" si="46"/>
        <v>497.45762711864404</v>
      </c>
    </row>
    <row r="262" spans="1:8" x14ac:dyDescent="0.25">
      <c r="A262" s="28"/>
      <c r="B262" s="15" t="s">
        <v>196</v>
      </c>
      <c r="C262" s="25" t="s">
        <v>197</v>
      </c>
      <c r="D262" s="20">
        <f>178+1</f>
        <v>179</v>
      </c>
      <c r="E262" s="16">
        <f>'[1]BVC 2022 '!D262</f>
        <v>2115</v>
      </c>
      <c r="G262" s="128">
        <f t="shared" si="45"/>
        <v>1936</v>
      </c>
      <c r="H262" s="112">
        <f t="shared" si="46"/>
        <v>1081.5642458100558</v>
      </c>
    </row>
    <row r="263" spans="1:8" x14ac:dyDescent="0.25">
      <c r="A263" s="28" t="s">
        <v>30</v>
      </c>
      <c r="B263" s="44" t="s">
        <v>98</v>
      </c>
      <c r="C263" s="6" t="s">
        <v>233</v>
      </c>
      <c r="D263" s="20"/>
      <c r="E263" s="20"/>
      <c r="G263" s="128">
        <f t="shared" si="45"/>
        <v>0</v>
      </c>
      <c r="H263" s="112" t="e">
        <f t="shared" si="46"/>
        <v>#DIV/0!</v>
      </c>
    </row>
    <row r="264" spans="1:8" x14ac:dyDescent="0.25">
      <c r="A264" s="28"/>
      <c r="B264" s="15" t="s">
        <v>194</v>
      </c>
      <c r="C264" s="25" t="s">
        <v>195</v>
      </c>
      <c r="D264" s="20">
        <v>1189</v>
      </c>
      <c r="E264" s="16">
        <f>'[1]BVC 2022 '!D264</f>
        <v>1951</v>
      </c>
      <c r="G264" s="128">
        <f t="shared" si="45"/>
        <v>762</v>
      </c>
      <c r="H264" s="112">
        <f t="shared" si="46"/>
        <v>64.0874684608915</v>
      </c>
    </row>
    <row r="265" spans="1:8" x14ac:dyDescent="0.25">
      <c r="A265" s="28"/>
      <c r="B265" s="15" t="s">
        <v>196</v>
      </c>
      <c r="C265" s="25" t="s">
        <v>197</v>
      </c>
      <c r="D265" s="20">
        <v>516</v>
      </c>
      <c r="E265" s="16">
        <f>'[1]BVC 2022 '!D265</f>
        <v>1951</v>
      </c>
      <c r="G265" s="128">
        <f t="shared" si="45"/>
        <v>1435</v>
      </c>
      <c r="H265" s="112">
        <f t="shared" si="46"/>
        <v>278.10077519379843</v>
      </c>
    </row>
    <row r="266" spans="1:8" x14ac:dyDescent="0.25">
      <c r="A266" s="28" t="s">
        <v>30</v>
      </c>
      <c r="B266" s="44" t="s">
        <v>99</v>
      </c>
      <c r="C266" s="6" t="s">
        <v>234</v>
      </c>
      <c r="D266" s="20"/>
      <c r="E266" s="20"/>
      <c r="G266" s="128">
        <f t="shared" ref="G266:G329" si="51">E266-D266</f>
        <v>0</v>
      </c>
      <c r="H266" s="112" t="e">
        <f t="shared" ref="H266:H329" si="52">G266/D266*100</f>
        <v>#DIV/0!</v>
      </c>
    </row>
    <row r="267" spans="1:8" x14ac:dyDescent="0.25">
      <c r="A267" s="28"/>
      <c r="B267" s="15" t="s">
        <v>194</v>
      </c>
      <c r="C267" s="25" t="s">
        <v>195</v>
      </c>
      <c r="D267" s="20">
        <f>934+1</f>
        <v>935</v>
      </c>
      <c r="E267" s="16">
        <f>'[1]BVC 2022 '!D267</f>
        <v>1991</v>
      </c>
      <c r="G267" s="128">
        <f t="shared" si="51"/>
        <v>1056</v>
      </c>
      <c r="H267" s="112">
        <f t="shared" si="52"/>
        <v>112.94117647058823</v>
      </c>
    </row>
    <row r="268" spans="1:8" x14ac:dyDescent="0.25">
      <c r="A268" s="28"/>
      <c r="B268" s="15" t="s">
        <v>196</v>
      </c>
      <c r="C268" s="25" t="s">
        <v>197</v>
      </c>
      <c r="D268" s="20">
        <v>558</v>
      </c>
      <c r="E268" s="16">
        <f>'[1]BVC 2022 '!D268</f>
        <v>1991</v>
      </c>
      <c r="G268" s="128">
        <f t="shared" si="51"/>
        <v>1433</v>
      </c>
      <c r="H268" s="112">
        <f t="shared" si="52"/>
        <v>256.81003584229393</v>
      </c>
    </row>
    <row r="269" spans="1:8" x14ac:dyDescent="0.25">
      <c r="A269" s="28" t="s">
        <v>30</v>
      </c>
      <c r="B269" s="44" t="s">
        <v>100</v>
      </c>
      <c r="C269" s="6" t="s">
        <v>235</v>
      </c>
      <c r="D269" s="20"/>
      <c r="E269" s="20"/>
      <c r="G269" s="128">
        <f t="shared" si="51"/>
        <v>0</v>
      </c>
      <c r="H269" s="112" t="e">
        <f t="shared" si="52"/>
        <v>#DIV/0!</v>
      </c>
    </row>
    <row r="270" spans="1:8" x14ac:dyDescent="0.25">
      <c r="A270" s="28"/>
      <c r="B270" s="15" t="s">
        <v>194</v>
      </c>
      <c r="C270" s="25" t="s">
        <v>195</v>
      </c>
      <c r="D270" s="20">
        <f>2353+1</f>
        <v>2354</v>
      </c>
      <c r="E270" s="16">
        <f>'[1]BVC 2022 '!D270</f>
        <v>3405</v>
      </c>
      <c r="G270" s="128">
        <f t="shared" si="51"/>
        <v>1051</v>
      </c>
      <c r="H270" s="112">
        <f t="shared" si="52"/>
        <v>44.647408666100254</v>
      </c>
    </row>
    <row r="271" spans="1:8" x14ac:dyDescent="0.25">
      <c r="A271" s="28"/>
      <c r="B271" s="15" t="s">
        <v>196</v>
      </c>
      <c r="C271" s="25" t="s">
        <v>197</v>
      </c>
      <c r="D271" s="20">
        <f>49+1</f>
        <v>50</v>
      </c>
      <c r="E271" s="16">
        <f>'[1]BVC 2022 '!D271</f>
        <v>3405</v>
      </c>
      <c r="G271" s="128">
        <f t="shared" si="51"/>
        <v>3355</v>
      </c>
      <c r="H271" s="112">
        <f t="shared" si="52"/>
        <v>6709.9999999999991</v>
      </c>
    </row>
    <row r="272" spans="1:8" x14ac:dyDescent="0.25">
      <c r="A272" s="28" t="s">
        <v>30</v>
      </c>
      <c r="B272" s="44" t="s">
        <v>101</v>
      </c>
      <c r="C272" s="6" t="s">
        <v>236</v>
      </c>
      <c r="D272" s="20"/>
      <c r="E272" s="20"/>
      <c r="G272" s="128">
        <f t="shared" si="51"/>
        <v>0</v>
      </c>
      <c r="H272" s="112" t="e">
        <f t="shared" si="52"/>
        <v>#DIV/0!</v>
      </c>
    </row>
    <row r="273" spans="1:8" x14ac:dyDescent="0.25">
      <c r="A273" s="28"/>
      <c r="B273" s="15" t="s">
        <v>194</v>
      </c>
      <c r="C273" s="25" t="s">
        <v>195</v>
      </c>
      <c r="D273" s="20">
        <f>658+1</f>
        <v>659</v>
      </c>
      <c r="E273" s="16">
        <f>'[1]BVC 2022 '!D273</f>
        <v>1424</v>
      </c>
      <c r="G273" s="128">
        <f t="shared" si="51"/>
        <v>765</v>
      </c>
      <c r="H273" s="112">
        <f t="shared" si="52"/>
        <v>116.08497723823976</v>
      </c>
    </row>
    <row r="274" spans="1:8" x14ac:dyDescent="0.25">
      <c r="A274" s="28"/>
      <c r="B274" s="15" t="s">
        <v>196</v>
      </c>
      <c r="C274" s="25" t="s">
        <v>197</v>
      </c>
      <c r="D274" s="20">
        <v>301</v>
      </c>
      <c r="E274" s="16">
        <f>'[1]BVC 2022 '!D274</f>
        <v>1424</v>
      </c>
      <c r="G274" s="128">
        <f t="shared" si="51"/>
        <v>1123</v>
      </c>
      <c r="H274" s="112">
        <f t="shared" si="52"/>
        <v>373.08970099667772</v>
      </c>
    </row>
    <row r="275" spans="1:8" x14ac:dyDescent="0.25">
      <c r="A275" s="28" t="s">
        <v>30</v>
      </c>
      <c r="B275" s="44" t="s">
        <v>102</v>
      </c>
      <c r="C275" s="6" t="s">
        <v>237</v>
      </c>
      <c r="D275" s="20"/>
      <c r="E275" s="20"/>
      <c r="G275" s="128">
        <f t="shared" si="51"/>
        <v>0</v>
      </c>
      <c r="H275" s="112" t="e">
        <f t="shared" si="52"/>
        <v>#DIV/0!</v>
      </c>
    </row>
    <row r="276" spans="1:8" x14ac:dyDescent="0.25">
      <c r="A276" s="28"/>
      <c r="B276" s="15" t="s">
        <v>194</v>
      </c>
      <c r="C276" s="25" t="s">
        <v>195</v>
      </c>
      <c r="D276" s="20">
        <v>281</v>
      </c>
      <c r="E276" s="16">
        <f>'[1]BVC 2022 '!D276</f>
        <v>598</v>
      </c>
      <c r="G276" s="128">
        <f t="shared" si="51"/>
        <v>317</v>
      </c>
      <c r="H276" s="112">
        <f t="shared" si="52"/>
        <v>112.81138790035587</v>
      </c>
    </row>
    <row r="277" spans="1:8" x14ac:dyDescent="0.25">
      <c r="A277" s="28"/>
      <c r="B277" s="15" t="s">
        <v>196</v>
      </c>
      <c r="C277" s="25" t="s">
        <v>197</v>
      </c>
      <c r="D277" s="20">
        <v>273</v>
      </c>
      <c r="E277" s="16">
        <f>'[1]BVC 2022 '!D277</f>
        <v>598</v>
      </c>
      <c r="G277" s="128">
        <f t="shared" si="51"/>
        <v>325</v>
      </c>
      <c r="H277" s="112">
        <f t="shared" si="52"/>
        <v>119.04761904761905</v>
      </c>
    </row>
    <row r="278" spans="1:8" hidden="1" x14ac:dyDescent="0.25">
      <c r="A278" s="15" t="s">
        <v>30</v>
      </c>
      <c r="B278" s="43" t="s">
        <v>103</v>
      </c>
      <c r="C278" s="2" t="s">
        <v>238</v>
      </c>
      <c r="D278" s="16"/>
      <c r="E278" s="16"/>
      <c r="G278" s="128">
        <f t="shared" si="51"/>
        <v>0</v>
      </c>
      <c r="H278" s="112" t="e">
        <f t="shared" si="52"/>
        <v>#DIV/0!</v>
      </c>
    </row>
    <row r="279" spans="1:8" hidden="1" x14ac:dyDescent="0.25">
      <c r="A279" s="15"/>
      <c r="B279" s="15" t="s">
        <v>194</v>
      </c>
      <c r="C279" s="25" t="s">
        <v>195</v>
      </c>
      <c r="D279" s="20">
        <f t="shared" ref="D279:E280" si="53">D282</f>
        <v>0</v>
      </c>
      <c r="E279" s="20">
        <f t="shared" si="53"/>
        <v>0</v>
      </c>
      <c r="G279" s="128">
        <f t="shared" si="51"/>
        <v>0</v>
      </c>
      <c r="H279" s="112" t="e">
        <f t="shared" si="52"/>
        <v>#DIV/0!</v>
      </c>
    </row>
    <row r="280" spans="1:8" hidden="1" x14ac:dyDescent="0.25">
      <c r="A280" s="15"/>
      <c r="B280" s="15" t="s">
        <v>196</v>
      </c>
      <c r="C280" s="25" t="s">
        <v>197</v>
      </c>
      <c r="D280" s="20">
        <f t="shared" si="53"/>
        <v>0</v>
      </c>
      <c r="E280" s="20">
        <f t="shared" si="53"/>
        <v>0</v>
      </c>
      <c r="G280" s="128">
        <f t="shared" si="51"/>
        <v>0</v>
      </c>
      <c r="H280" s="112" t="e">
        <f t="shared" si="52"/>
        <v>#DIV/0!</v>
      </c>
    </row>
    <row r="281" spans="1:8" hidden="1" x14ac:dyDescent="0.25">
      <c r="A281" s="18" t="s">
        <v>30</v>
      </c>
      <c r="B281" s="11" t="s">
        <v>104</v>
      </c>
      <c r="C281" s="5" t="s">
        <v>239</v>
      </c>
      <c r="D281" s="17"/>
      <c r="E281" s="17"/>
      <c r="G281" s="128">
        <f t="shared" si="51"/>
        <v>0</v>
      </c>
      <c r="H281" s="112" t="e">
        <f t="shared" si="52"/>
        <v>#DIV/0!</v>
      </c>
    </row>
    <row r="282" spans="1:8" hidden="1" x14ac:dyDescent="0.25">
      <c r="A282" s="18"/>
      <c r="B282" s="12" t="s">
        <v>194</v>
      </c>
      <c r="C282" s="53" t="s">
        <v>195</v>
      </c>
      <c r="D282" s="17">
        <v>0</v>
      </c>
      <c r="E282" s="17">
        <v>0</v>
      </c>
      <c r="G282" s="128">
        <f t="shared" si="51"/>
        <v>0</v>
      </c>
      <c r="H282" s="112" t="e">
        <f t="shared" si="52"/>
        <v>#DIV/0!</v>
      </c>
    </row>
    <row r="283" spans="1:8" hidden="1" x14ac:dyDescent="0.25">
      <c r="A283" s="18"/>
      <c r="B283" s="33" t="s">
        <v>196</v>
      </c>
      <c r="C283" s="54" t="s">
        <v>197</v>
      </c>
      <c r="D283" s="29">
        <v>0</v>
      </c>
      <c r="E283" s="29">
        <v>0</v>
      </c>
      <c r="G283" s="128">
        <f t="shared" si="51"/>
        <v>0</v>
      </c>
      <c r="H283" s="112" t="e">
        <f t="shared" si="52"/>
        <v>#DIV/0!</v>
      </c>
    </row>
    <row r="284" spans="1:8" ht="25.5" x14ac:dyDescent="0.25">
      <c r="A284" s="28" t="s">
        <v>30</v>
      </c>
      <c r="B284" s="44" t="s">
        <v>105</v>
      </c>
      <c r="C284" s="6" t="s">
        <v>240</v>
      </c>
      <c r="D284" s="20"/>
      <c r="E284" s="20"/>
      <c r="G284" s="128">
        <f t="shared" si="51"/>
        <v>0</v>
      </c>
      <c r="H284" s="112" t="e">
        <f t="shared" si="52"/>
        <v>#DIV/0!</v>
      </c>
    </row>
    <row r="285" spans="1:8" x14ac:dyDescent="0.25">
      <c r="A285" s="28"/>
      <c r="B285" s="15" t="s">
        <v>194</v>
      </c>
      <c r="C285" s="25" t="s">
        <v>195</v>
      </c>
      <c r="D285" s="20">
        <v>763</v>
      </c>
      <c r="E285" s="16">
        <f>'[1]BVC 2022 '!D285</f>
        <v>1891</v>
      </c>
      <c r="G285" s="128">
        <f t="shared" si="51"/>
        <v>1128</v>
      </c>
      <c r="H285" s="112">
        <f t="shared" si="52"/>
        <v>147.83748361730014</v>
      </c>
    </row>
    <row r="286" spans="1:8" x14ac:dyDescent="0.25">
      <c r="A286" s="28"/>
      <c r="B286" s="15" t="s">
        <v>196</v>
      </c>
      <c r="C286" s="25" t="s">
        <v>197</v>
      </c>
      <c r="D286" s="20">
        <v>585</v>
      </c>
      <c r="E286" s="16">
        <f>'[1]BVC 2022 '!D286</f>
        <v>1891</v>
      </c>
      <c r="G286" s="128">
        <f t="shared" si="51"/>
        <v>1306</v>
      </c>
      <c r="H286" s="112">
        <f t="shared" si="52"/>
        <v>223.24786324786325</v>
      </c>
    </row>
    <row r="287" spans="1:8" x14ac:dyDescent="0.25">
      <c r="A287" s="15" t="s">
        <v>30</v>
      </c>
      <c r="B287" s="43" t="s">
        <v>106</v>
      </c>
      <c r="C287" s="2" t="s">
        <v>107</v>
      </c>
      <c r="D287" s="16"/>
      <c r="E287" s="16"/>
      <c r="G287" s="128">
        <f t="shared" si="51"/>
        <v>0</v>
      </c>
      <c r="H287" s="112" t="e">
        <f t="shared" si="52"/>
        <v>#DIV/0!</v>
      </c>
    </row>
    <row r="288" spans="1:8" x14ac:dyDescent="0.25">
      <c r="A288" s="15"/>
      <c r="B288" s="15" t="s">
        <v>194</v>
      </c>
      <c r="C288" s="25" t="s">
        <v>195</v>
      </c>
      <c r="D288" s="16">
        <f t="shared" ref="D288:E289" si="54">D291+D294+D297+D300+D303+D306</f>
        <v>115929</v>
      </c>
      <c r="E288" s="16">
        <f t="shared" si="54"/>
        <v>186973</v>
      </c>
      <c r="G288" s="128">
        <f t="shared" si="51"/>
        <v>71044</v>
      </c>
      <c r="H288" s="112">
        <f t="shared" si="52"/>
        <v>61.282336602575718</v>
      </c>
    </row>
    <row r="289" spans="1:8" x14ac:dyDescent="0.25">
      <c r="A289" s="15"/>
      <c r="B289" s="15" t="s">
        <v>196</v>
      </c>
      <c r="C289" s="25" t="s">
        <v>197</v>
      </c>
      <c r="D289" s="16">
        <f t="shared" si="54"/>
        <v>112360</v>
      </c>
      <c r="E289" s="16">
        <f t="shared" si="54"/>
        <v>186973</v>
      </c>
      <c r="G289" s="128">
        <f t="shared" si="51"/>
        <v>74613</v>
      </c>
      <c r="H289" s="112">
        <f t="shared" si="52"/>
        <v>66.405304378782475</v>
      </c>
    </row>
    <row r="290" spans="1:8" x14ac:dyDescent="0.25">
      <c r="A290" s="18" t="s">
        <v>30</v>
      </c>
      <c r="B290" s="11" t="s">
        <v>108</v>
      </c>
      <c r="C290" s="5" t="s">
        <v>241</v>
      </c>
      <c r="D290" s="17"/>
      <c r="E290" s="17"/>
      <c r="G290" s="128">
        <f t="shared" si="51"/>
        <v>0</v>
      </c>
      <c r="H290" s="112" t="e">
        <f t="shared" si="52"/>
        <v>#DIV/0!</v>
      </c>
    </row>
    <row r="291" spans="1:8" x14ac:dyDescent="0.25">
      <c r="A291" s="18"/>
      <c r="B291" s="12" t="s">
        <v>194</v>
      </c>
      <c r="C291" s="53" t="s">
        <v>195</v>
      </c>
      <c r="D291" s="17">
        <v>355</v>
      </c>
      <c r="E291" s="86">
        <f>'[1]BVC 2022 '!D291</f>
        <v>945</v>
      </c>
      <c r="G291" s="128">
        <f t="shared" si="51"/>
        <v>590</v>
      </c>
      <c r="H291" s="112">
        <f t="shared" si="52"/>
        <v>166.19718309859155</v>
      </c>
    </row>
    <row r="292" spans="1:8" x14ac:dyDescent="0.25">
      <c r="A292" s="18"/>
      <c r="B292" s="33" t="s">
        <v>196</v>
      </c>
      <c r="C292" s="54" t="s">
        <v>197</v>
      </c>
      <c r="D292" s="29">
        <v>304</v>
      </c>
      <c r="E292" s="86">
        <f>'[1]BVC 2022 '!D292</f>
        <v>945</v>
      </c>
      <c r="G292" s="128">
        <f t="shared" si="51"/>
        <v>641</v>
      </c>
      <c r="H292" s="112">
        <f t="shared" si="52"/>
        <v>210.85526315789474</v>
      </c>
    </row>
    <row r="293" spans="1:8" x14ac:dyDescent="0.25">
      <c r="A293" s="18" t="s">
        <v>30</v>
      </c>
      <c r="B293" s="11" t="s">
        <v>109</v>
      </c>
      <c r="C293" s="5" t="s">
        <v>242</v>
      </c>
      <c r="D293" s="17"/>
      <c r="E293" s="17"/>
      <c r="G293" s="128">
        <f t="shared" si="51"/>
        <v>0</v>
      </c>
      <c r="H293" s="112" t="e">
        <f t="shared" si="52"/>
        <v>#DIV/0!</v>
      </c>
    </row>
    <row r="294" spans="1:8" x14ac:dyDescent="0.25">
      <c r="A294" s="18"/>
      <c r="B294" s="12" t="s">
        <v>194</v>
      </c>
      <c r="C294" s="53" t="s">
        <v>195</v>
      </c>
      <c r="D294" s="17">
        <v>323</v>
      </c>
      <c r="E294" s="86">
        <f>'[1]BVC 2022 '!D294</f>
        <v>872</v>
      </c>
      <c r="G294" s="128">
        <f t="shared" si="51"/>
        <v>549</v>
      </c>
      <c r="H294" s="112">
        <f t="shared" si="52"/>
        <v>169.96904024767804</v>
      </c>
    </row>
    <row r="295" spans="1:8" x14ac:dyDescent="0.25">
      <c r="A295" s="18"/>
      <c r="B295" s="33" t="s">
        <v>196</v>
      </c>
      <c r="C295" s="54" t="s">
        <v>197</v>
      </c>
      <c r="D295" s="29">
        <v>314</v>
      </c>
      <c r="E295" s="86">
        <f>'[1]BVC 2022 '!D295</f>
        <v>872</v>
      </c>
      <c r="G295" s="128">
        <f t="shared" si="51"/>
        <v>558</v>
      </c>
      <c r="H295" s="112">
        <f t="shared" si="52"/>
        <v>177.70700636942675</v>
      </c>
    </row>
    <row r="296" spans="1:8" x14ac:dyDescent="0.25">
      <c r="A296" s="18" t="s">
        <v>30</v>
      </c>
      <c r="B296" s="11" t="s">
        <v>110</v>
      </c>
      <c r="C296" s="5" t="s">
        <v>243</v>
      </c>
      <c r="D296" s="17"/>
      <c r="E296" s="17"/>
      <c r="G296" s="128">
        <f t="shared" si="51"/>
        <v>0</v>
      </c>
      <c r="H296" s="112" t="e">
        <f t="shared" si="52"/>
        <v>#DIV/0!</v>
      </c>
    </row>
    <row r="297" spans="1:8" x14ac:dyDescent="0.25">
      <c r="A297" s="18"/>
      <c r="B297" s="12" t="s">
        <v>194</v>
      </c>
      <c r="C297" s="53" t="s">
        <v>195</v>
      </c>
      <c r="D297" s="17">
        <v>1185</v>
      </c>
      <c r="E297" s="86">
        <f>'[1]BVC 2022 '!D297</f>
        <v>2308</v>
      </c>
      <c r="G297" s="128">
        <f t="shared" si="51"/>
        <v>1123</v>
      </c>
      <c r="H297" s="112">
        <f t="shared" si="52"/>
        <v>94.767932489451482</v>
      </c>
    </row>
    <row r="298" spans="1:8" x14ac:dyDescent="0.25">
      <c r="A298" s="18"/>
      <c r="B298" s="33" t="s">
        <v>196</v>
      </c>
      <c r="C298" s="54" t="s">
        <v>197</v>
      </c>
      <c r="D298" s="29">
        <v>880</v>
      </c>
      <c r="E298" s="86">
        <f>'[1]BVC 2022 '!D298</f>
        <v>2308</v>
      </c>
      <c r="G298" s="128">
        <f t="shared" si="51"/>
        <v>1428</v>
      </c>
      <c r="H298" s="112">
        <f t="shared" si="52"/>
        <v>162.27272727272728</v>
      </c>
    </row>
    <row r="299" spans="1:8" x14ac:dyDescent="0.25">
      <c r="A299" s="18" t="s">
        <v>30</v>
      </c>
      <c r="B299" s="11" t="s">
        <v>111</v>
      </c>
      <c r="C299" s="5" t="s">
        <v>112</v>
      </c>
      <c r="D299" s="17"/>
      <c r="E299" s="17"/>
      <c r="G299" s="128">
        <f t="shared" si="51"/>
        <v>0</v>
      </c>
      <c r="H299" s="112" t="e">
        <f t="shared" si="52"/>
        <v>#DIV/0!</v>
      </c>
    </row>
    <row r="300" spans="1:8" x14ac:dyDescent="0.25">
      <c r="A300" s="18"/>
      <c r="B300" s="12" t="s">
        <v>194</v>
      </c>
      <c r="C300" s="53" t="s">
        <v>195</v>
      </c>
      <c r="D300" s="17">
        <v>2774</v>
      </c>
      <c r="E300" s="86">
        <f>'[1]BVC 2022 '!D300</f>
        <v>3361</v>
      </c>
      <c r="G300" s="128">
        <f t="shared" si="51"/>
        <v>587</v>
      </c>
      <c r="H300" s="112">
        <f t="shared" si="52"/>
        <v>21.160778658976206</v>
      </c>
    </row>
    <row r="301" spans="1:8" x14ac:dyDescent="0.25">
      <c r="A301" s="18"/>
      <c r="B301" s="33" t="s">
        <v>196</v>
      </c>
      <c r="C301" s="54" t="s">
        <v>197</v>
      </c>
      <c r="D301" s="29">
        <v>1809</v>
      </c>
      <c r="E301" s="86">
        <f>'[1]BVC 2022 '!D301</f>
        <v>3361</v>
      </c>
      <c r="G301" s="128">
        <f t="shared" si="51"/>
        <v>1552</v>
      </c>
      <c r="H301" s="112">
        <f t="shared" si="52"/>
        <v>85.793255942509674</v>
      </c>
    </row>
    <row r="302" spans="1:8" x14ac:dyDescent="0.25">
      <c r="A302" s="18" t="s">
        <v>30</v>
      </c>
      <c r="B302" s="11" t="s">
        <v>113</v>
      </c>
      <c r="C302" s="5" t="s">
        <v>244</v>
      </c>
      <c r="D302" s="17"/>
      <c r="E302" s="17"/>
      <c r="G302" s="128">
        <f t="shared" si="51"/>
        <v>0</v>
      </c>
      <c r="H302" s="112" t="e">
        <f t="shared" si="52"/>
        <v>#DIV/0!</v>
      </c>
    </row>
    <row r="303" spans="1:8" x14ac:dyDescent="0.25">
      <c r="A303" s="18"/>
      <c r="B303" s="12" t="s">
        <v>194</v>
      </c>
      <c r="C303" s="53" t="s">
        <v>195</v>
      </c>
      <c r="D303" s="17">
        <v>0</v>
      </c>
      <c r="E303" s="86">
        <f>'[1]BVC 2022 '!D303</f>
        <v>7</v>
      </c>
      <c r="G303" s="128">
        <f t="shared" si="51"/>
        <v>7</v>
      </c>
      <c r="H303" s="112" t="e">
        <f t="shared" si="52"/>
        <v>#DIV/0!</v>
      </c>
    </row>
    <row r="304" spans="1:8" x14ac:dyDescent="0.25">
      <c r="A304" s="18"/>
      <c r="B304" s="33" t="s">
        <v>196</v>
      </c>
      <c r="C304" s="54" t="s">
        <v>197</v>
      </c>
      <c r="D304" s="29">
        <v>0</v>
      </c>
      <c r="E304" s="86">
        <f>'[1]BVC 2022 '!D304</f>
        <v>7</v>
      </c>
      <c r="G304" s="128">
        <f t="shared" si="51"/>
        <v>7</v>
      </c>
      <c r="H304" s="112" t="e">
        <f t="shared" si="52"/>
        <v>#DIV/0!</v>
      </c>
    </row>
    <row r="305" spans="1:8" x14ac:dyDescent="0.25">
      <c r="A305" s="18" t="s">
        <v>30</v>
      </c>
      <c r="B305" s="11" t="s">
        <v>114</v>
      </c>
      <c r="C305" s="5" t="s">
        <v>186</v>
      </c>
      <c r="D305" s="17"/>
      <c r="E305" s="17"/>
      <c r="G305" s="128">
        <f t="shared" si="51"/>
        <v>0</v>
      </c>
      <c r="H305" s="112" t="e">
        <f t="shared" si="52"/>
        <v>#DIV/0!</v>
      </c>
    </row>
    <row r="306" spans="1:8" x14ac:dyDescent="0.25">
      <c r="A306" s="18"/>
      <c r="B306" s="12" t="s">
        <v>194</v>
      </c>
      <c r="C306" s="53" t="s">
        <v>195</v>
      </c>
      <c r="D306" s="17">
        <v>111292</v>
      </c>
      <c r="E306" s="86">
        <f>'[1]BVC 2022 '!D306</f>
        <v>179480</v>
      </c>
      <c r="G306" s="128">
        <f t="shared" si="51"/>
        <v>68188</v>
      </c>
      <c r="H306" s="112">
        <f t="shared" si="52"/>
        <v>61.269453329978795</v>
      </c>
    </row>
    <row r="307" spans="1:8" x14ac:dyDescent="0.25">
      <c r="A307" s="18"/>
      <c r="B307" s="33" t="s">
        <v>196</v>
      </c>
      <c r="C307" s="54" t="s">
        <v>197</v>
      </c>
      <c r="D307" s="17">
        <v>109053</v>
      </c>
      <c r="E307" s="86">
        <f>'[1]BVC 2022 '!D307</f>
        <v>179480</v>
      </c>
      <c r="G307" s="128">
        <f t="shared" si="51"/>
        <v>70427</v>
      </c>
      <c r="H307" s="112">
        <f t="shared" si="52"/>
        <v>64.580525065793694</v>
      </c>
    </row>
    <row r="308" spans="1:8" hidden="1" x14ac:dyDescent="0.25">
      <c r="A308" s="15" t="s">
        <v>30</v>
      </c>
      <c r="B308" s="15">
        <v>57</v>
      </c>
      <c r="C308" s="2" t="s">
        <v>271</v>
      </c>
      <c r="D308" s="16"/>
      <c r="E308" s="16"/>
      <c r="G308" s="128">
        <f t="shared" si="51"/>
        <v>0</v>
      </c>
      <c r="H308" s="112" t="e">
        <f t="shared" si="52"/>
        <v>#DIV/0!</v>
      </c>
    </row>
    <row r="309" spans="1:8" hidden="1" x14ac:dyDescent="0.25">
      <c r="A309" s="15"/>
      <c r="B309" s="15" t="s">
        <v>194</v>
      </c>
      <c r="C309" s="25" t="s">
        <v>195</v>
      </c>
      <c r="D309" s="16">
        <f t="shared" ref="D309:E310" si="55">D312</f>
        <v>0</v>
      </c>
      <c r="E309" s="16">
        <f t="shared" si="55"/>
        <v>0</v>
      </c>
      <c r="G309" s="128">
        <f t="shared" si="51"/>
        <v>0</v>
      </c>
      <c r="H309" s="112" t="e">
        <f t="shared" si="52"/>
        <v>#DIV/0!</v>
      </c>
    </row>
    <row r="310" spans="1:8" hidden="1" x14ac:dyDescent="0.25">
      <c r="A310" s="15"/>
      <c r="B310" s="15" t="s">
        <v>196</v>
      </c>
      <c r="C310" s="25" t="s">
        <v>197</v>
      </c>
      <c r="D310" s="16">
        <f t="shared" si="55"/>
        <v>0</v>
      </c>
      <c r="E310" s="16">
        <f t="shared" si="55"/>
        <v>0</v>
      </c>
      <c r="G310" s="128">
        <f t="shared" si="51"/>
        <v>0</v>
      </c>
      <c r="H310" s="112" t="e">
        <f t="shared" si="52"/>
        <v>#DIV/0!</v>
      </c>
    </row>
    <row r="311" spans="1:8" hidden="1" x14ac:dyDescent="0.25">
      <c r="A311" s="15" t="s">
        <v>30</v>
      </c>
      <c r="B311" s="15" t="s">
        <v>276</v>
      </c>
      <c r="C311" s="2" t="s">
        <v>272</v>
      </c>
      <c r="D311" s="16"/>
      <c r="E311" s="16"/>
      <c r="G311" s="128">
        <f t="shared" si="51"/>
        <v>0</v>
      </c>
      <c r="H311" s="112" t="e">
        <f t="shared" si="52"/>
        <v>#DIV/0!</v>
      </c>
    </row>
    <row r="312" spans="1:8" hidden="1" x14ac:dyDescent="0.25">
      <c r="A312" s="15"/>
      <c r="B312" s="15" t="s">
        <v>194</v>
      </c>
      <c r="C312" s="25" t="s">
        <v>195</v>
      </c>
      <c r="D312" s="16">
        <f t="shared" ref="D312:E313" si="56">D315</f>
        <v>0</v>
      </c>
      <c r="E312" s="16">
        <f t="shared" si="56"/>
        <v>0</v>
      </c>
      <c r="G312" s="128">
        <f t="shared" si="51"/>
        <v>0</v>
      </c>
      <c r="H312" s="112" t="e">
        <f t="shared" si="52"/>
        <v>#DIV/0!</v>
      </c>
    </row>
    <row r="313" spans="1:8" hidden="1" x14ac:dyDescent="0.25">
      <c r="A313" s="15"/>
      <c r="B313" s="15" t="s">
        <v>196</v>
      </c>
      <c r="C313" s="25" t="s">
        <v>197</v>
      </c>
      <c r="D313" s="16">
        <f t="shared" si="56"/>
        <v>0</v>
      </c>
      <c r="E313" s="16">
        <f t="shared" si="56"/>
        <v>0</v>
      </c>
      <c r="G313" s="128">
        <f t="shared" si="51"/>
        <v>0</v>
      </c>
      <c r="H313" s="112" t="e">
        <f t="shared" si="52"/>
        <v>#DIV/0!</v>
      </c>
    </row>
    <row r="314" spans="1:8" hidden="1" x14ac:dyDescent="0.25">
      <c r="A314" s="18" t="s">
        <v>30</v>
      </c>
      <c r="B314" s="18" t="s">
        <v>277</v>
      </c>
      <c r="C314" s="5" t="s">
        <v>273</v>
      </c>
      <c r="D314" s="17"/>
      <c r="E314" s="17"/>
      <c r="G314" s="128">
        <f t="shared" si="51"/>
        <v>0</v>
      </c>
      <c r="H314" s="112" t="e">
        <f t="shared" si="52"/>
        <v>#DIV/0!</v>
      </c>
    </row>
    <row r="315" spans="1:8" hidden="1" x14ac:dyDescent="0.25">
      <c r="A315" s="18"/>
      <c r="B315" s="12" t="s">
        <v>194</v>
      </c>
      <c r="C315" s="53" t="s">
        <v>195</v>
      </c>
      <c r="D315" s="17"/>
      <c r="E315" s="86">
        <f>'[1]BVC 2022 '!D315</f>
        <v>0</v>
      </c>
      <c r="G315" s="128">
        <f t="shared" si="51"/>
        <v>0</v>
      </c>
      <c r="H315" s="112" t="e">
        <f t="shared" si="52"/>
        <v>#DIV/0!</v>
      </c>
    </row>
    <row r="316" spans="1:8" hidden="1" x14ac:dyDescent="0.25">
      <c r="A316" s="18"/>
      <c r="B316" s="33" t="s">
        <v>196</v>
      </c>
      <c r="C316" s="54" t="s">
        <v>197</v>
      </c>
      <c r="D316" s="17"/>
      <c r="E316" s="86">
        <f>'[1]BVC 2022 '!D316</f>
        <v>0</v>
      </c>
      <c r="G316" s="128">
        <f t="shared" si="51"/>
        <v>0</v>
      </c>
      <c r="H316" s="112" t="e">
        <f t="shared" si="52"/>
        <v>#DIV/0!</v>
      </c>
    </row>
    <row r="317" spans="1:8" ht="38.25" x14ac:dyDescent="0.25">
      <c r="A317" s="26" t="s">
        <v>30</v>
      </c>
      <c r="B317" s="26" t="s">
        <v>35</v>
      </c>
      <c r="C317" s="40" t="s">
        <v>200</v>
      </c>
      <c r="D317" s="30"/>
      <c r="E317" s="30"/>
      <c r="G317" s="128">
        <f t="shared" si="51"/>
        <v>0</v>
      </c>
      <c r="H317" s="112" t="e">
        <f t="shared" si="52"/>
        <v>#DIV/0!</v>
      </c>
    </row>
    <row r="318" spans="1:8" x14ac:dyDescent="0.25">
      <c r="A318" s="26"/>
      <c r="B318" s="15" t="s">
        <v>194</v>
      </c>
      <c r="C318" s="25" t="s">
        <v>195</v>
      </c>
      <c r="D318" s="30">
        <f>D321+D342+D363+D333+D351</f>
        <v>2537</v>
      </c>
      <c r="E318" s="30">
        <f t="shared" ref="E318:E319" si="57">E321+E342+E363+E333+E351</f>
        <v>5478</v>
      </c>
      <c r="G318" s="128">
        <f t="shared" si="51"/>
        <v>2941</v>
      </c>
      <c r="H318" s="112">
        <f t="shared" si="52"/>
        <v>115.92432006306662</v>
      </c>
    </row>
    <row r="319" spans="1:8" x14ac:dyDescent="0.25">
      <c r="A319" s="26"/>
      <c r="B319" s="15" t="s">
        <v>196</v>
      </c>
      <c r="C319" s="25" t="s">
        <v>197</v>
      </c>
      <c r="D319" s="30">
        <f>D322+D343+D364+D334+D352</f>
        <v>3658</v>
      </c>
      <c r="E319" s="30">
        <f t="shared" si="57"/>
        <v>6976</v>
      </c>
      <c r="G319" s="128">
        <f t="shared" si="51"/>
        <v>3318</v>
      </c>
      <c r="H319" s="112">
        <f t="shared" si="52"/>
        <v>90.705303444505191</v>
      </c>
    </row>
    <row r="320" spans="1:8" ht="23.25" customHeight="1" x14ac:dyDescent="0.25">
      <c r="A320" s="31" t="s">
        <v>30</v>
      </c>
      <c r="B320" s="31" t="s">
        <v>117</v>
      </c>
      <c r="C320" s="64" t="s">
        <v>247</v>
      </c>
      <c r="D320" s="65"/>
      <c r="E320" s="65"/>
      <c r="G320" s="128">
        <f t="shared" si="51"/>
        <v>0</v>
      </c>
      <c r="H320" s="112" t="e">
        <f t="shared" si="52"/>
        <v>#DIV/0!</v>
      </c>
    </row>
    <row r="321" spans="1:8" x14ac:dyDescent="0.25">
      <c r="A321" s="31"/>
      <c r="B321" s="15" t="s">
        <v>194</v>
      </c>
      <c r="C321" s="25" t="s">
        <v>195</v>
      </c>
      <c r="D321" s="65">
        <f t="shared" ref="D321:E322" si="58">D324+D327+D330</f>
        <v>408</v>
      </c>
      <c r="E321" s="65">
        <f t="shared" si="58"/>
        <v>587</v>
      </c>
      <c r="G321" s="128">
        <f t="shared" si="51"/>
        <v>179</v>
      </c>
      <c r="H321" s="112">
        <f t="shared" si="52"/>
        <v>43.872549019607845</v>
      </c>
    </row>
    <row r="322" spans="1:8" x14ac:dyDescent="0.25">
      <c r="A322" s="31"/>
      <c r="B322" s="15" t="s">
        <v>196</v>
      </c>
      <c r="C322" s="25" t="s">
        <v>197</v>
      </c>
      <c r="D322" s="65">
        <f t="shared" si="58"/>
        <v>1650</v>
      </c>
      <c r="E322" s="65">
        <f t="shared" si="58"/>
        <v>1828</v>
      </c>
      <c r="G322" s="128">
        <f t="shared" si="51"/>
        <v>178</v>
      </c>
      <c r="H322" s="112">
        <f t="shared" si="52"/>
        <v>10.787878787878787</v>
      </c>
    </row>
    <row r="323" spans="1:8" x14ac:dyDescent="0.25">
      <c r="A323" s="66" t="s">
        <v>30</v>
      </c>
      <c r="B323" s="66" t="s">
        <v>118</v>
      </c>
      <c r="C323" s="61" t="s">
        <v>245</v>
      </c>
      <c r="D323" s="62"/>
      <c r="E323" s="62"/>
      <c r="G323" s="128">
        <f t="shared" si="51"/>
        <v>0</v>
      </c>
      <c r="H323" s="112" t="e">
        <f t="shared" si="52"/>
        <v>#DIV/0!</v>
      </c>
    </row>
    <row r="324" spans="1:8" x14ac:dyDescent="0.25">
      <c r="A324" s="66"/>
      <c r="B324" s="12" t="s">
        <v>194</v>
      </c>
      <c r="C324" s="53" t="s">
        <v>195</v>
      </c>
      <c r="D324" s="88">
        <v>3</v>
      </c>
      <c r="E324" s="86">
        <f>'[1]BVC 2022 '!D324</f>
        <v>3</v>
      </c>
      <c r="G324" s="128">
        <f t="shared" si="51"/>
        <v>0</v>
      </c>
      <c r="H324" s="112">
        <f t="shared" si="52"/>
        <v>0</v>
      </c>
    </row>
    <row r="325" spans="1:8" x14ac:dyDescent="0.25">
      <c r="A325" s="66"/>
      <c r="B325" s="33" t="s">
        <v>196</v>
      </c>
      <c r="C325" s="54" t="s">
        <v>197</v>
      </c>
      <c r="D325" s="86">
        <v>161</v>
      </c>
      <c r="E325" s="86">
        <f>'[1]BVC 2022 '!D325</f>
        <v>161</v>
      </c>
      <c r="G325" s="128">
        <f t="shared" si="51"/>
        <v>0</v>
      </c>
      <c r="H325" s="112">
        <f t="shared" si="52"/>
        <v>0</v>
      </c>
    </row>
    <row r="326" spans="1:8" x14ac:dyDescent="0.25">
      <c r="A326" s="12" t="s">
        <v>30</v>
      </c>
      <c r="B326" s="12" t="s">
        <v>119</v>
      </c>
      <c r="C326" s="67" t="s">
        <v>248</v>
      </c>
      <c r="D326" s="130"/>
      <c r="E326" s="68"/>
      <c r="G326" s="128">
        <f t="shared" si="51"/>
        <v>0</v>
      </c>
      <c r="H326" s="112" t="e">
        <f t="shared" si="52"/>
        <v>#DIV/0!</v>
      </c>
    </row>
    <row r="327" spans="1:8" x14ac:dyDescent="0.25">
      <c r="A327" s="12"/>
      <c r="B327" s="12" t="s">
        <v>194</v>
      </c>
      <c r="C327" s="53" t="s">
        <v>195</v>
      </c>
      <c r="D327" s="88">
        <v>400</v>
      </c>
      <c r="E327" s="86">
        <f>'[1]BVC 2022 '!D327</f>
        <v>579</v>
      </c>
      <c r="G327" s="128">
        <f t="shared" si="51"/>
        <v>179</v>
      </c>
      <c r="H327" s="112">
        <f t="shared" si="52"/>
        <v>44.75</v>
      </c>
    </row>
    <row r="328" spans="1:8" x14ac:dyDescent="0.25">
      <c r="A328" s="12"/>
      <c r="B328" s="33" t="s">
        <v>196</v>
      </c>
      <c r="C328" s="54" t="s">
        <v>197</v>
      </c>
      <c r="D328" s="86">
        <v>1287</v>
      </c>
      <c r="E328" s="86">
        <f>'[1]BVC 2022 '!D328</f>
        <v>1465</v>
      </c>
      <c r="G328" s="128">
        <f t="shared" si="51"/>
        <v>178</v>
      </c>
      <c r="H328" s="112">
        <f t="shared" si="52"/>
        <v>13.83061383061383</v>
      </c>
    </row>
    <row r="329" spans="1:8" x14ac:dyDescent="0.25">
      <c r="A329" s="12" t="s">
        <v>30</v>
      </c>
      <c r="B329" s="12" t="s">
        <v>120</v>
      </c>
      <c r="C329" s="61" t="s">
        <v>116</v>
      </c>
      <c r="D329" s="131"/>
      <c r="E329" s="62"/>
      <c r="G329" s="128">
        <f t="shared" si="51"/>
        <v>0</v>
      </c>
      <c r="H329" s="112" t="e">
        <f t="shared" si="52"/>
        <v>#DIV/0!</v>
      </c>
    </row>
    <row r="330" spans="1:8" x14ac:dyDescent="0.25">
      <c r="A330" s="12"/>
      <c r="B330" s="12" t="s">
        <v>194</v>
      </c>
      <c r="C330" s="53" t="s">
        <v>195</v>
      </c>
      <c r="D330" s="88">
        <v>5</v>
      </c>
      <c r="E330" s="86">
        <f>'[1]BVC 2022 '!D330</f>
        <v>5</v>
      </c>
      <c r="G330" s="128">
        <f t="shared" ref="G330:G393" si="59">E330-D330</f>
        <v>0</v>
      </c>
      <c r="H330" s="112">
        <f t="shared" ref="H330:H393" si="60">G330/D330*100</f>
        <v>0</v>
      </c>
    </row>
    <row r="331" spans="1:8" x14ac:dyDescent="0.25">
      <c r="A331" s="12"/>
      <c r="B331" s="33" t="s">
        <v>196</v>
      </c>
      <c r="C331" s="54" t="s">
        <v>197</v>
      </c>
      <c r="D331" s="29">
        <v>202</v>
      </c>
      <c r="E331" s="86">
        <f>'[1]BVC 2022 '!D331</f>
        <v>202</v>
      </c>
      <c r="G331" s="128">
        <f t="shared" si="59"/>
        <v>0</v>
      </c>
      <c r="H331" s="112">
        <f t="shared" si="60"/>
        <v>0</v>
      </c>
    </row>
    <row r="332" spans="1:8" x14ac:dyDescent="0.25">
      <c r="A332" s="31" t="s">
        <v>30</v>
      </c>
      <c r="B332" s="31" t="s">
        <v>281</v>
      </c>
      <c r="C332" s="64" t="s">
        <v>279</v>
      </c>
      <c r="D332" s="65"/>
      <c r="E332" s="65"/>
      <c r="G332" s="128">
        <f t="shared" si="59"/>
        <v>0</v>
      </c>
      <c r="H332" s="112" t="e">
        <f t="shared" si="60"/>
        <v>#DIV/0!</v>
      </c>
    </row>
    <row r="333" spans="1:8" x14ac:dyDescent="0.25">
      <c r="A333" s="31"/>
      <c r="B333" s="15" t="s">
        <v>194</v>
      </c>
      <c r="C333" s="25" t="s">
        <v>195</v>
      </c>
      <c r="D333" s="65">
        <f t="shared" ref="D333:E334" si="61">D336+D339</f>
        <v>1839</v>
      </c>
      <c r="E333" s="65">
        <f t="shared" si="61"/>
        <v>4041</v>
      </c>
      <c r="G333" s="128">
        <f t="shared" si="59"/>
        <v>2202</v>
      </c>
      <c r="H333" s="112">
        <f t="shared" si="60"/>
        <v>119.7389885807504</v>
      </c>
    </row>
    <row r="334" spans="1:8" x14ac:dyDescent="0.25">
      <c r="A334" s="31"/>
      <c r="B334" s="15" t="s">
        <v>196</v>
      </c>
      <c r="C334" s="25" t="s">
        <v>197</v>
      </c>
      <c r="D334" s="65">
        <f t="shared" si="61"/>
        <v>1698</v>
      </c>
      <c r="E334" s="65">
        <f t="shared" si="61"/>
        <v>4041</v>
      </c>
      <c r="G334" s="128">
        <f t="shared" si="59"/>
        <v>2343</v>
      </c>
      <c r="H334" s="112">
        <f t="shared" si="60"/>
        <v>137.98586572438163</v>
      </c>
    </row>
    <row r="335" spans="1:8" hidden="1" x14ac:dyDescent="0.25">
      <c r="A335" s="66" t="s">
        <v>30</v>
      </c>
      <c r="B335" s="66" t="s">
        <v>282</v>
      </c>
      <c r="C335" s="5" t="s">
        <v>245</v>
      </c>
      <c r="D335" s="17"/>
      <c r="E335" s="17"/>
      <c r="G335" s="128">
        <f t="shared" si="59"/>
        <v>0</v>
      </c>
      <c r="H335" s="112" t="e">
        <f t="shared" si="60"/>
        <v>#DIV/0!</v>
      </c>
    </row>
    <row r="336" spans="1:8" hidden="1" x14ac:dyDescent="0.25">
      <c r="A336" s="66"/>
      <c r="B336" s="12" t="s">
        <v>194</v>
      </c>
      <c r="C336" s="53" t="s">
        <v>195</v>
      </c>
      <c r="D336" s="17"/>
      <c r="E336" s="17"/>
      <c r="G336" s="128">
        <f t="shared" si="59"/>
        <v>0</v>
      </c>
      <c r="H336" s="112" t="e">
        <f t="shared" si="60"/>
        <v>#DIV/0!</v>
      </c>
    </row>
    <row r="337" spans="1:8" hidden="1" x14ac:dyDescent="0.25">
      <c r="A337" s="66"/>
      <c r="B337" s="33" t="s">
        <v>196</v>
      </c>
      <c r="C337" s="54" t="s">
        <v>197</v>
      </c>
      <c r="D337" s="29"/>
      <c r="E337" s="29"/>
      <c r="G337" s="128">
        <f t="shared" si="59"/>
        <v>0</v>
      </c>
      <c r="H337" s="112" t="e">
        <f t="shared" si="60"/>
        <v>#DIV/0!</v>
      </c>
    </row>
    <row r="338" spans="1:8" x14ac:dyDescent="0.25">
      <c r="A338" s="12" t="s">
        <v>30</v>
      </c>
      <c r="B338" s="12" t="s">
        <v>283</v>
      </c>
      <c r="C338" s="69" t="s">
        <v>248</v>
      </c>
      <c r="D338" s="70"/>
      <c r="E338" s="70"/>
      <c r="G338" s="128">
        <f t="shared" si="59"/>
        <v>0</v>
      </c>
      <c r="H338" s="112" t="e">
        <f t="shared" si="60"/>
        <v>#DIV/0!</v>
      </c>
    </row>
    <row r="339" spans="1:8" x14ac:dyDescent="0.25">
      <c r="A339" s="12"/>
      <c r="B339" s="12" t="s">
        <v>194</v>
      </c>
      <c r="C339" s="53" t="s">
        <v>195</v>
      </c>
      <c r="D339" s="17">
        <v>1839</v>
      </c>
      <c r="E339" s="86">
        <f>'[1]BVC 2022 '!D339</f>
        <v>4041</v>
      </c>
      <c r="G339" s="128">
        <f t="shared" si="59"/>
        <v>2202</v>
      </c>
      <c r="H339" s="112">
        <f t="shared" si="60"/>
        <v>119.7389885807504</v>
      </c>
    </row>
    <row r="340" spans="1:8" x14ac:dyDescent="0.25">
      <c r="A340" s="12"/>
      <c r="B340" s="33" t="s">
        <v>196</v>
      </c>
      <c r="C340" s="54" t="s">
        <v>197</v>
      </c>
      <c r="D340" s="17">
        <v>1698</v>
      </c>
      <c r="E340" s="86">
        <f>'[1]BVC 2022 '!D340</f>
        <v>4041</v>
      </c>
      <c r="G340" s="128">
        <f t="shared" si="59"/>
        <v>2343</v>
      </c>
      <c r="H340" s="112">
        <f t="shared" si="60"/>
        <v>137.98586572438163</v>
      </c>
    </row>
    <row r="341" spans="1:8" ht="17.25" customHeight="1" x14ac:dyDescent="0.25">
      <c r="A341" s="31" t="s">
        <v>30</v>
      </c>
      <c r="B341" s="31" t="s">
        <v>121</v>
      </c>
      <c r="C341" s="64" t="s">
        <v>122</v>
      </c>
      <c r="D341" s="65"/>
      <c r="E341" s="65"/>
      <c r="G341" s="128">
        <f t="shared" si="59"/>
        <v>0</v>
      </c>
      <c r="H341" s="112" t="e">
        <f t="shared" si="60"/>
        <v>#DIV/0!</v>
      </c>
    </row>
    <row r="342" spans="1:8" x14ac:dyDescent="0.25">
      <c r="A342" s="31"/>
      <c r="B342" s="15" t="s">
        <v>194</v>
      </c>
      <c r="C342" s="25" t="s">
        <v>195</v>
      </c>
      <c r="D342" s="65">
        <f t="shared" ref="D342:E343" si="62">D345+D348</f>
        <v>43</v>
      </c>
      <c r="E342" s="65">
        <f t="shared" si="62"/>
        <v>250</v>
      </c>
      <c r="G342" s="128">
        <f t="shared" si="59"/>
        <v>207</v>
      </c>
      <c r="H342" s="112">
        <f t="shared" si="60"/>
        <v>481.39534883720927</v>
      </c>
    </row>
    <row r="343" spans="1:8" x14ac:dyDescent="0.25">
      <c r="A343" s="31"/>
      <c r="B343" s="15" t="s">
        <v>196</v>
      </c>
      <c r="C343" s="25" t="s">
        <v>197</v>
      </c>
      <c r="D343" s="65">
        <f t="shared" si="62"/>
        <v>43</v>
      </c>
      <c r="E343" s="65">
        <f t="shared" si="62"/>
        <v>507</v>
      </c>
      <c r="G343" s="128">
        <f t="shared" si="59"/>
        <v>464</v>
      </c>
      <c r="H343" s="112">
        <f t="shared" si="60"/>
        <v>1079.0697674418604</v>
      </c>
    </row>
    <row r="344" spans="1:8" x14ac:dyDescent="0.25">
      <c r="A344" s="66" t="s">
        <v>30</v>
      </c>
      <c r="B344" s="66" t="s">
        <v>123</v>
      </c>
      <c r="C344" s="5" t="s">
        <v>245</v>
      </c>
      <c r="D344" s="17"/>
      <c r="E344" s="17"/>
      <c r="G344" s="128">
        <f t="shared" si="59"/>
        <v>0</v>
      </c>
      <c r="H344" s="112" t="e">
        <f t="shared" si="60"/>
        <v>#DIV/0!</v>
      </c>
    </row>
    <row r="345" spans="1:8" x14ac:dyDescent="0.25">
      <c r="A345" s="66"/>
      <c r="B345" s="12" t="s">
        <v>194</v>
      </c>
      <c r="C345" s="53" t="s">
        <v>195</v>
      </c>
      <c r="D345" s="88">
        <v>6</v>
      </c>
      <c r="E345" s="86">
        <f>'[1]BVC 2022 '!D345</f>
        <v>38</v>
      </c>
      <c r="G345" s="128">
        <f t="shared" si="59"/>
        <v>32</v>
      </c>
      <c r="H345" s="112">
        <f t="shared" si="60"/>
        <v>533.33333333333326</v>
      </c>
    </row>
    <row r="346" spans="1:8" x14ac:dyDescent="0.25">
      <c r="A346" s="66"/>
      <c r="B346" s="33" t="s">
        <v>196</v>
      </c>
      <c r="C346" s="54" t="s">
        <v>197</v>
      </c>
      <c r="D346" s="86">
        <v>6</v>
      </c>
      <c r="E346" s="86">
        <f>'[1]BVC 2022 '!D346</f>
        <v>38</v>
      </c>
      <c r="G346" s="128">
        <f t="shared" si="59"/>
        <v>32</v>
      </c>
      <c r="H346" s="112">
        <f t="shared" si="60"/>
        <v>533.33333333333326</v>
      </c>
    </row>
    <row r="347" spans="1:8" x14ac:dyDescent="0.25">
      <c r="A347" s="12" t="s">
        <v>30</v>
      </c>
      <c r="B347" s="12" t="s">
        <v>124</v>
      </c>
      <c r="C347" s="69" t="s">
        <v>248</v>
      </c>
      <c r="D347" s="119"/>
      <c r="E347" s="70"/>
      <c r="G347" s="128">
        <f t="shared" si="59"/>
        <v>0</v>
      </c>
      <c r="H347" s="112" t="e">
        <f t="shared" si="60"/>
        <v>#DIV/0!</v>
      </c>
    </row>
    <row r="348" spans="1:8" x14ac:dyDescent="0.25">
      <c r="A348" s="12"/>
      <c r="B348" s="12" t="s">
        <v>194</v>
      </c>
      <c r="C348" s="53" t="s">
        <v>195</v>
      </c>
      <c r="D348" s="88">
        <f>37-37+37</f>
        <v>37</v>
      </c>
      <c r="E348" s="86">
        <f>'[1]BVC 2022 '!D348</f>
        <v>212</v>
      </c>
      <c r="G348" s="128">
        <f t="shared" si="59"/>
        <v>175</v>
      </c>
      <c r="H348" s="112">
        <f t="shared" si="60"/>
        <v>472.97297297297297</v>
      </c>
    </row>
    <row r="349" spans="1:8" x14ac:dyDescent="0.25">
      <c r="A349" s="12"/>
      <c r="B349" s="33" t="s">
        <v>196</v>
      </c>
      <c r="C349" s="54" t="s">
        <v>197</v>
      </c>
      <c r="D349" s="29">
        <v>37</v>
      </c>
      <c r="E349" s="86">
        <f>'[1]BVC 2022 '!D349</f>
        <v>469</v>
      </c>
      <c r="G349" s="128">
        <f t="shared" si="59"/>
        <v>432</v>
      </c>
      <c r="H349" s="112">
        <f t="shared" si="60"/>
        <v>1167.5675675675675</v>
      </c>
    </row>
    <row r="350" spans="1:8" x14ac:dyDescent="0.25">
      <c r="A350" s="31" t="s">
        <v>30</v>
      </c>
      <c r="B350" s="31" t="s">
        <v>300</v>
      </c>
      <c r="C350" s="90" t="s">
        <v>299</v>
      </c>
      <c r="D350" s="65"/>
      <c r="E350" s="65"/>
      <c r="G350" s="128">
        <f t="shared" si="59"/>
        <v>0</v>
      </c>
      <c r="H350" s="112" t="e">
        <f t="shared" si="60"/>
        <v>#DIV/0!</v>
      </c>
    </row>
    <row r="351" spans="1:8" x14ac:dyDescent="0.25">
      <c r="A351" s="31"/>
      <c r="B351" s="15" t="s">
        <v>194</v>
      </c>
      <c r="C351" s="25" t="s">
        <v>195</v>
      </c>
      <c r="D351" s="65">
        <f>D354+D357+D360</f>
        <v>142</v>
      </c>
      <c r="E351" s="65">
        <f t="shared" ref="E351:E352" si="63">E354+E357+E360</f>
        <v>287</v>
      </c>
      <c r="G351" s="128">
        <f t="shared" si="59"/>
        <v>145</v>
      </c>
      <c r="H351" s="112">
        <f t="shared" si="60"/>
        <v>102.11267605633803</v>
      </c>
    </row>
    <row r="352" spans="1:8" x14ac:dyDescent="0.25">
      <c r="A352" s="31"/>
      <c r="B352" s="15" t="s">
        <v>196</v>
      </c>
      <c r="C352" s="25" t="s">
        <v>197</v>
      </c>
      <c r="D352" s="65">
        <f>D355+D358+D361</f>
        <v>142</v>
      </c>
      <c r="E352" s="65">
        <f t="shared" si="63"/>
        <v>287</v>
      </c>
      <c r="G352" s="128">
        <f t="shared" si="59"/>
        <v>145</v>
      </c>
      <c r="H352" s="112">
        <f t="shared" si="60"/>
        <v>102.11267605633803</v>
      </c>
    </row>
    <row r="353" spans="1:8" x14ac:dyDescent="0.25">
      <c r="A353" s="66" t="s">
        <v>30</v>
      </c>
      <c r="B353" s="66" t="s">
        <v>301</v>
      </c>
      <c r="C353" s="5" t="s">
        <v>245</v>
      </c>
      <c r="D353" s="17"/>
      <c r="E353" s="17"/>
      <c r="G353" s="128">
        <f t="shared" si="59"/>
        <v>0</v>
      </c>
      <c r="H353" s="112" t="e">
        <f t="shared" si="60"/>
        <v>#DIV/0!</v>
      </c>
    </row>
    <row r="354" spans="1:8" x14ac:dyDescent="0.25">
      <c r="A354" s="66"/>
      <c r="B354" s="12" t="s">
        <v>194</v>
      </c>
      <c r="C354" s="53" t="s">
        <v>195</v>
      </c>
      <c r="D354" s="17">
        <v>44</v>
      </c>
      <c r="E354" s="86">
        <f>'[1]BVC 2022 '!D354</f>
        <v>54</v>
      </c>
      <c r="G354" s="128">
        <f t="shared" si="59"/>
        <v>10</v>
      </c>
      <c r="H354" s="112">
        <f t="shared" si="60"/>
        <v>22.727272727272727</v>
      </c>
    </row>
    <row r="355" spans="1:8" x14ac:dyDescent="0.25">
      <c r="A355" s="66"/>
      <c r="B355" s="33" t="s">
        <v>196</v>
      </c>
      <c r="C355" s="54" t="s">
        <v>197</v>
      </c>
      <c r="D355" s="17">
        <v>44</v>
      </c>
      <c r="E355" s="86">
        <f>'[1]BVC 2022 '!D355</f>
        <v>54</v>
      </c>
      <c r="G355" s="128">
        <f t="shared" si="59"/>
        <v>10</v>
      </c>
      <c r="H355" s="112">
        <f t="shared" si="60"/>
        <v>22.727272727272727</v>
      </c>
    </row>
    <row r="356" spans="1:8" x14ac:dyDescent="0.25">
      <c r="A356" s="12" t="s">
        <v>30</v>
      </c>
      <c r="B356" s="12" t="s">
        <v>302</v>
      </c>
      <c r="C356" s="69" t="s">
        <v>248</v>
      </c>
      <c r="D356" s="70"/>
      <c r="E356" s="70"/>
      <c r="G356" s="128">
        <f t="shared" si="59"/>
        <v>0</v>
      </c>
      <c r="H356" s="112" t="e">
        <f t="shared" si="60"/>
        <v>#DIV/0!</v>
      </c>
    </row>
    <row r="357" spans="1:8" x14ac:dyDescent="0.25">
      <c r="A357" s="12"/>
      <c r="B357" s="12" t="s">
        <v>194</v>
      </c>
      <c r="C357" s="53" t="s">
        <v>195</v>
      </c>
      <c r="D357" s="17">
        <v>87</v>
      </c>
      <c r="E357" s="86">
        <f>'[1]BVC 2022 '!D357</f>
        <v>195</v>
      </c>
      <c r="G357" s="128">
        <f t="shared" si="59"/>
        <v>108</v>
      </c>
      <c r="H357" s="112">
        <f t="shared" si="60"/>
        <v>124.13793103448276</v>
      </c>
    </row>
    <row r="358" spans="1:8" x14ac:dyDescent="0.25">
      <c r="A358" s="12"/>
      <c r="B358" s="33" t="s">
        <v>196</v>
      </c>
      <c r="C358" s="54" t="s">
        <v>197</v>
      </c>
      <c r="D358" s="17">
        <v>87</v>
      </c>
      <c r="E358" s="86">
        <f>'[1]BVC 2022 '!D358</f>
        <v>195</v>
      </c>
      <c r="G358" s="128">
        <f t="shared" si="59"/>
        <v>108</v>
      </c>
      <c r="H358" s="112">
        <f t="shared" si="60"/>
        <v>124.13793103448276</v>
      </c>
    </row>
    <row r="359" spans="1:8" x14ac:dyDescent="0.25">
      <c r="A359" s="12" t="s">
        <v>30</v>
      </c>
      <c r="B359" s="12" t="s">
        <v>313</v>
      </c>
      <c r="C359" s="61" t="s">
        <v>116</v>
      </c>
      <c r="D359" s="70"/>
      <c r="E359" s="70"/>
      <c r="G359" s="128">
        <f t="shared" si="59"/>
        <v>0</v>
      </c>
      <c r="H359" s="112" t="e">
        <f t="shared" si="60"/>
        <v>#DIV/0!</v>
      </c>
    </row>
    <row r="360" spans="1:8" x14ac:dyDescent="0.25">
      <c r="A360" s="12"/>
      <c r="B360" s="12" t="s">
        <v>194</v>
      </c>
      <c r="C360" s="53" t="s">
        <v>195</v>
      </c>
      <c r="D360" s="17">
        <v>11</v>
      </c>
      <c r="E360" s="86">
        <f>'[1]BVC 2022 '!D360</f>
        <v>38</v>
      </c>
      <c r="G360" s="128">
        <f t="shared" si="59"/>
        <v>27</v>
      </c>
      <c r="H360" s="112">
        <f t="shared" si="60"/>
        <v>245.45454545454547</v>
      </c>
    </row>
    <row r="361" spans="1:8" x14ac:dyDescent="0.25">
      <c r="A361" s="12"/>
      <c r="B361" s="33" t="s">
        <v>196</v>
      </c>
      <c r="C361" s="54" t="s">
        <v>197</v>
      </c>
      <c r="D361" s="17">
        <v>11</v>
      </c>
      <c r="E361" s="86">
        <f>'[1]BVC 2022 '!D361</f>
        <v>38</v>
      </c>
      <c r="G361" s="128">
        <f t="shared" si="59"/>
        <v>27</v>
      </c>
      <c r="H361" s="112">
        <f t="shared" si="60"/>
        <v>245.45454545454547</v>
      </c>
    </row>
    <row r="362" spans="1:8" x14ac:dyDescent="0.25">
      <c r="A362" s="31" t="s">
        <v>30</v>
      </c>
      <c r="B362" s="31" t="s">
        <v>125</v>
      </c>
      <c r="C362" s="71" t="s">
        <v>191</v>
      </c>
      <c r="D362" s="72"/>
      <c r="E362" s="72"/>
      <c r="G362" s="128">
        <f t="shared" si="59"/>
        <v>0</v>
      </c>
      <c r="H362" s="112" t="e">
        <f t="shared" si="60"/>
        <v>#DIV/0!</v>
      </c>
    </row>
    <row r="363" spans="1:8" x14ac:dyDescent="0.25">
      <c r="A363" s="31"/>
      <c r="B363" s="15" t="s">
        <v>194</v>
      </c>
      <c r="C363" s="25" t="s">
        <v>195</v>
      </c>
      <c r="D363" s="72">
        <f t="shared" ref="D363:E364" si="64">D369+D372+D366</f>
        <v>105</v>
      </c>
      <c r="E363" s="72">
        <f t="shared" si="64"/>
        <v>313</v>
      </c>
      <c r="G363" s="128">
        <f t="shared" si="59"/>
        <v>208</v>
      </c>
      <c r="H363" s="112">
        <f t="shared" si="60"/>
        <v>198.0952380952381</v>
      </c>
    </row>
    <row r="364" spans="1:8" x14ac:dyDescent="0.25">
      <c r="A364" s="31"/>
      <c r="B364" s="15" t="s">
        <v>196</v>
      </c>
      <c r="C364" s="25" t="s">
        <v>197</v>
      </c>
      <c r="D364" s="72">
        <f t="shared" si="64"/>
        <v>125</v>
      </c>
      <c r="E364" s="72">
        <f t="shared" si="64"/>
        <v>313</v>
      </c>
      <c r="G364" s="128">
        <f t="shared" si="59"/>
        <v>188</v>
      </c>
      <c r="H364" s="112">
        <f t="shared" si="60"/>
        <v>150.4</v>
      </c>
    </row>
    <row r="365" spans="1:8" x14ac:dyDescent="0.25">
      <c r="A365" s="12" t="s">
        <v>30</v>
      </c>
      <c r="B365" s="12" t="s">
        <v>280</v>
      </c>
      <c r="C365" s="5" t="s">
        <v>245</v>
      </c>
      <c r="D365" s="70"/>
      <c r="E365" s="70"/>
      <c r="G365" s="128">
        <f t="shared" si="59"/>
        <v>0</v>
      </c>
      <c r="H365" s="112" t="e">
        <f t="shared" si="60"/>
        <v>#DIV/0!</v>
      </c>
    </row>
    <row r="366" spans="1:8" x14ac:dyDescent="0.25">
      <c r="A366" s="12"/>
      <c r="B366" s="12" t="s">
        <v>194</v>
      </c>
      <c r="C366" s="53" t="s">
        <v>195</v>
      </c>
      <c r="D366" s="17">
        <v>0</v>
      </c>
      <c r="E366" s="86">
        <f>'[1]BVC 2022 '!D366</f>
        <v>38</v>
      </c>
      <c r="G366" s="128">
        <f t="shared" si="59"/>
        <v>38</v>
      </c>
      <c r="H366" s="112" t="e">
        <f t="shared" si="60"/>
        <v>#DIV/0!</v>
      </c>
    </row>
    <row r="367" spans="1:8" x14ac:dyDescent="0.25">
      <c r="A367" s="12"/>
      <c r="B367" s="33" t="s">
        <v>196</v>
      </c>
      <c r="C367" s="54" t="s">
        <v>197</v>
      </c>
      <c r="D367" s="17">
        <v>0</v>
      </c>
      <c r="E367" s="86">
        <f>'[1]BVC 2022 '!D367</f>
        <v>38</v>
      </c>
      <c r="G367" s="128">
        <f t="shared" si="59"/>
        <v>38</v>
      </c>
      <c r="H367" s="112" t="e">
        <f t="shared" si="60"/>
        <v>#DIV/0!</v>
      </c>
    </row>
    <row r="368" spans="1:8" x14ac:dyDescent="0.25">
      <c r="A368" s="12" t="s">
        <v>30</v>
      </c>
      <c r="B368" s="12" t="s">
        <v>126</v>
      </c>
      <c r="C368" s="69" t="s">
        <v>248</v>
      </c>
      <c r="D368" s="70"/>
      <c r="E368" s="70"/>
      <c r="G368" s="128">
        <f t="shared" si="59"/>
        <v>0</v>
      </c>
      <c r="H368" s="112" t="e">
        <f t="shared" si="60"/>
        <v>#DIV/0!</v>
      </c>
    </row>
    <row r="369" spans="1:8" x14ac:dyDescent="0.25">
      <c r="A369" s="12"/>
      <c r="B369" s="12" t="s">
        <v>194</v>
      </c>
      <c r="C369" s="53" t="s">
        <v>195</v>
      </c>
      <c r="D369" s="88">
        <v>105</v>
      </c>
      <c r="E369" s="86">
        <f>'[1]BVC 2022 '!D369</f>
        <v>275</v>
      </c>
      <c r="G369" s="128">
        <f t="shared" si="59"/>
        <v>170</v>
      </c>
      <c r="H369" s="112">
        <f t="shared" si="60"/>
        <v>161.9047619047619</v>
      </c>
    </row>
    <row r="370" spans="1:8" x14ac:dyDescent="0.25">
      <c r="A370" s="12"/>
      <c r="B370" s="33" t="s">
        <v>196</v>
      </c>
      <c r="C370" s="54" t="s">
        <v>197</v>
      </c>
      <c r="D370" s="17">
        <v>125</v>
      </c>
      <c r="E370" s="86">
        <f>'[1]BVC 2022 '!D370</f>
        <v>275</v>
      </c>
      <c r="G370" s="128">
        <f t="shared" si="59"/>
        <v>150</v>
      </c>
      <c r="H370" s="112">
        <f t="shared" si="60"/>
        <v>120</v>
      </c>
    </row>
    <row r="371" spans="1:8" hidden="1" x14ac:dyDescent="0.25">
      <c r="A371" s="12" t="s">
        <v>30</v>
      </c>
      <c r="B371" s="12" t="s">
        <v>127</v>
      </c>
      <c r="C371" s="5" t="s">
        <v>116</v>
      </c>
      <c r="D371" s="17"/>
      <c r="E371" s="17"/>
      <c r="G371" s="128">
        <f t="shared" si="59"/>
        <v>0</v>
      </c>
      <c r="H371" s="112" t="e">
        <f t="shared" si="60"/>
        <v>#DIV/0!</v>
      </c>
    </row>
    <row r="372" spans="1:8" hidden="1" x14ac:dyDescent="0.25">
      <c r="A372" s="12"/>
      <c r="B372" s="12" t="s">
        <v>194</v>
      </c>
      <c r="C372" s="53" t="s">
        <v>195</v>
      </c>
      <c r="D372" s="17">
        <v>0</v>
      </c>
      <c r="E372" s="17">
        <v>0</v>
      </c>
      <c r="G372" s="128">
        <f t="shared" si="59"/>
        <v>0</v>
      </c>
      <c r="H372" s="112" t="e">
        <f t="shared" si="60"/>
        <v>#DIV/0!</v>
      </c>
    </row>
    <row r="373" spans="1:8" hidden="1" x14ac:dyDescent="0.25">
      <c r="A373" s="12"/>
      <c r="B373" s="33" t="s">
        <v>196</v>
      </c>
      <c r="C373" s="54" t="s">
        <v>197</v>
      </c>
      <c r="D373" s="29">
        <v>0</v>
      </c>
      <c r="E373" s="29">
        <v>0</v>
      </c>
      <c r="G373" s="128">
        <f t="shared" si="59"/>
        <v>0</v>
      </c>
      <c r="H373" s="112" t="e">
        <f t="shared" si="60"/>
        <v>#DIV/0!</v>
      </c>
    </row>
    <row r="374" spans="1:8" x14ac:dyDescent="0.25">
      <c r="A374" s="15" t="s">
        <v>30</v>
      </c>
      <c r="B374" s="46" t="s">
        <v>36</v>
      </c>
      <c r="C374" s="47" t="s">
        <v>107</v>
      </c>
      <c r="D374" s="32"/>
      <c r="E374" s="32"/>
      <c r="G374" s="128">
        <f t="shared" si="59"/>
        <v>0</v>
      </c>
      <c r="H374" s="112" t="e">
        <f t="shared" si="60"/>
        <v>#DIV/0!</v>
      </c>
    </row>
    <row r="375" spans="1:8" x14ac:dyDescent="0.25">
      <c r="A375" s="15"/>
      <c r="B375" s="15" t="s">
        <v>194</v>
      </c>
      <c r="C375" s="25" t="s">
        <v>195</v>
      </c>
      <c r="D375" s="32">
        <f t="shared" ref="D375:E376" si="65">D378+D381</f>
        <v>5538</v>
      </c>
      <c r="E375" s="32">
        <f t="shared" si="65"/>
        <v>8095</v>
      </c>
      <c r="G375" s="128">
        <f t="shared" si="59"/>
        <v>2557</v>
      </c>
      <c r="H375" s="112">
        <f t="shared" si="60"/>
        <v>46.171903214156735</v>
      </c>
    </row>
    <row r="376" spans="1:8" x14ac:dyDescent="0.25">
      <c r="A376" s="15"/>
      <c r="B376" s="15" t="s">
        <v>196</v>
      </c>
      <c r="C376" s="25" t="s">
        <v>197</v>
      </c>
      <c r="D376" s="32">
        <f t="shared" si="65"/>
        <v>5076</v>
      </c>
      <c r="E376" s="32">
        <f t="shared" si="65"/>
        <v>8095</v>
      </c>
      <c r="G376" s="128">
        <f t="shared" si="59"/>
        <v>3019</v>
      </c>
      <c r="H376" s="112">
        <f t="shared" si="60"/>
        <v>59.475965327029158</v>
      </c>
    </row>
    <row r="377" spans="1:8" x14ac:dyDescent="0.25">
      <c r="A377" s="18" t="s">
        <v>30</v>
      </c>
      <c r="B377" s="12" t="s">
        <v>128</v>
      </c>
      <c r="C377" s="53" t="s">
        <v>249</v>
      </c>
      <c r="D377" s="17"/>
      <c r="E377" s="17"/>
      <c r="G377" s="128">
        <f t="shared" si="59"/>
        <v>0</v>
      </c>
      <c r="H377" s="112" t="e">
        <f t="shared" si="60"/>
        <v>#DIV/0!</v>
      </c>
    </row>
    <row r="378" spans="1:8" x14ac:dyDescent="0.25">
      <c r="A378" s="18"/>
      <c r="B378" s="12" t="s">
        <v>194</v>
      </c>
      <c r="C378" s="53" t="s">
        <v>195</v>
      </c>
      <c r="D378" s="17">
        <v>0</v>
      </c>
      <c r="E378" s="86">
        <f>'[1]BVC 2022 '!D378</f>
        <v>50</v>
      </c>
      <c r="G378" s="128">
        <f t="shared" si="59"/>
        <v>50</v>
      </c>
      <c r="H378" s="112" t="e">
        <f t="shared" si="60"/>
        <v>#DIV/0!</v>
      </c>
    </row>
    <row r="379" spans="1:8" x14ac:dyDescent="0.25">
      <c r="A379" s="18"/>
      <c r="B379" s="33" t="s">
        <v>196</v>
      </c>
      <c r="C379" s="54" t="s">
        <v>197</v>
      </c>
      <c r="D379" s="29">
        <v>0</v>
      </c>
      <c r="E379" s="86">
        <f>'[1]BVC 2022 '!D379</f>
        <v>50</v>
      </c>
      <c r="G379" s="128">
        <f t="shared" si="59"/>
        <v>50</v>
      </c>
      <c r="H379" s="112" t="e">
        <f t="shared" si="60"/>
        <v>#DIV/0!</v>
      </c>
    </row>
    <row r="380" spans="1:8" x14ac:dyDescent="0.25">
      <c r="A380" s="18" t="s">
        <v>250</v>
      </c>
      <c r="B380" s="12" t="s">
        <v>160</v>
      </c>
      <c r="C380" s="53" t="s">
        <v>161</v>
      </c>
      <c r="D380" s="17"/>
      <c r="E380" s="17"/>
      <c r="G380" s="128">
        <f t="shared" si="59"/>
        <v>0</v>
      </c>
      <c r="H380" s="112" t="e">
        <f t="shared" si="60"/>
        <v>#DIV/0!</v>
      </c>
    </row>
    <row r="381" spans="1:8" x14ac:dyDescent="0.25">
      <c r="A381" s="18"/>
      <c r="B381" s="12" t="s">
        <v>194</v>
      </c>
      <c r="C381" s="53" t="s">
        <v>195</v>
      </c>
      <c r="D381" s="17">
        <v>5538</v>
      </c>
      <c r="E381" s="86">
        <f>'[1]BVC 2022 '!D381</f>
        <v>8045</v>
      </c>
      <c r="G381" s="128">
        <f t="shared" si="59"/>
        <v>2507</v>
      </c>
      <c r="H381" s="112">
        <f t="shared" si="60"/>
        <v>45.269050198627667</v>
      </c>
    </row>
    <row r="382" spans="1:8" x14ac:dyDescent="0.25">
      <c r="A382" s="18"/>
      <c r="B382" s="33" t="s">
        <v>196</v>
      </c>
      <c r="C382" s="54" t="s">
        <v>197</v>
      </c>
      <c r="D382" s="29">
        <v>5076</v>
      </c>
      <c r="E382" s="86">
        <f>'[1]BVC 2022 '!D382</f>
        <v>8045</v>
      </c>
      <c r="G382" s="128">
        <f t="shared" si="59"/>
        <v>2969</v>
      </c>
      <c r="H382" s="112">
        <f t="shared" si="60"/>
        <v>58.490937746256897</v>
      </c>
    </row>
    <row r="383" spans="1:8" x14ac:dyDescent="0.25">
      <c r="A383" s="15" t="s">
        <v>30</v>
      </c>
      <c r="B383" s="15" t="s">
        <v>129</v>
      </c>
      <c r="C383" s="2" t="s">
        <v>130</v>
      </c>
      <c r="D383" s="16"/>
      <c r="E383" s="16"/>
      <c r="G383" s="128">
        <f t="shared" si="59"/>
        <v>0</v>
      </c>
      <c r="H383" s="112" t="e">
        <f t="shared" si="60"/>
        <v>#DIV/0!</v>
      </c>
    </row>
    <row r="384" spans="1:8" x14ac:dyDescent="0.25">
      <c r="A384" s="15"/>
      <c r="B384" s="15" t="s">
        <v>194</v>
      </c>
      <c r="C384" s="2" t="s">
        <v>195</v>
      </c>
      <c r="D384" s="16">
        <f>D387</f>
        <v>27069</v>
      </c>
      <c r="E384" s="16">
        <f t="shared" ref="E384" si="66">E387</f>
        <v>119691</v>
      </c>
      <c r="G384" s="128">
        <f t="shared" si="59"/>
        <v>92622</v>
      </c>
      <c r="H384" s="112">
        <f t="shared" si="60"/>
        <v>342.17000997450958</v>
      </c>
    </row>
    <row r="385" spans="1:8" x14ac:dyDescent="0.25">
      <c r="A385" s="15"/>
      <c r="B385" s="15" t="s">
        <v>196</v>
      </c>
      <c r="C385" s="25" t="s">
        <v>197</v>
      </c>
      <c r="D385" s="16">
        <f t="shared" ref="D385:E385" si="67">D388</f>
        <v>15837</v>
      </c>
      <c r="E385" s="16">
        <f t="shared" si="67"/>
        <v>100897</v>
      </c>
      <c r="G385" s="128">
        <f t="shared" si="59"/>
        <v>85060</v>
      </c>
      <c r="H385" s="112">
        <f t="shared" si="60"/>
        <v>537.09667234956112</v>
      </c>
    </row>
    <row r="386" spans="1:8" x14ac:dyDescent="0.25">
      <c r="A386" s="15" t="s">
        <v>30</v>
      </c>
      <c r="B386" s="15" t="s">
        <v>131</v>
      </c>
      <c r="C386" s="2" t="s">
        <v>132</v>
      </c>
      <c r="D386" s="16"/>
      <c r="E386" s="16"/>
      <c r="G386" s="128">
        <f t="shared" si="59"/>
        <v>0</v>
      </c>
      <c r="H386" s="112" t="e">
        <f t="shared" si="60"/>
        <v>#DIV/0!</v>
      </c>
    </row>
    <row r="387" spans="1:8" x14ac:dyDescent="0.25">
      <c r="A387" s="15"/>
      <c r="B387" s="15" t="s">
        <v>194</v>
      </c>
      <c r="C387" s="2" t="s">
        <v>195</v>
      </c>
      <c r="D387" s="16">
        <f t="shared" ref="D387:E388" si="68">D390+D405</f>
        <v>27069</v>
      </c>
      <c r="E387" s="16">
        <f t="shared" si="68"/>
        <v>119691</v>
      </c>
      <c r="G387" s="128">
        <f t="shared" si="59"/>
        <v>92622</v>
      </c>
      <c r="H387" s="112">
        <f t="shared" si="60"/>
        <v>342.17000997450958</v>
      </c>
    </row>
    <row r="388" spans="1:8" x14ac:dyDescent="0.25">
      <c r="A388" s="15"/>
      <c r="B388" s="15" t="s">
        <v>196</v>
      </c>
      <c r="C388" s="25" t="s">
        <v>197</v>
      </c>
      <c r="D388" s="16">
        <f t="shared" si="68"/>
        <v>15837</v>
      </c>
      <c r="E388" s="16">
        <f t="shared" si="68"/>
        <v>100897</v>
      </c>
      <c r="G388" s="128">
        <f t="shared" si="59"/>
        <v>85060</v>
      </c>
      <c r="H388" s="112">
        <f t="shared" si="60"/>
        <v>537.09667234956112</v>
      </c>
    </row>
    <row r="389" spans="1:8" x14ac:dyDescent="0.25">
      <c r="A389" s="15" t="s">
        <v>30</v>
      </c>
      <c r="B389" s="15" t="s">
        <v>133</v>
      </c>
      <c r="C389" s="2" t="s">
        <v>134</v>
      </c>
      <c r="D389" s="16"/>
      <c r="E389" s="16"/>
      <c r="G389" s="128">
        <f t="shared" si="59"/>
        <v>0</v>
      </c>
      <c r="H389" s="112" t="e">
        <f t="shared" si="60"/>
        <v>#DIV/0!</v>
      </c>
    </row>
    <row r="390" spans="1:8" x14ac:dyDescent="0.25">
      <c r="A390" s="15"/>
      <c r="B390" s="15" t="s">
        <v>194</v>
      </c>
      <c r="C390" s="2" t="s">
        <v>195</v>
      </c>
      <c r="D390" s="16">
        <f t="shared" ref="D390:E391" si="69">D393+D396+D399+D402</f>
        <v>7566</v>
      </c>
      <c r="E390" s="16">
        <f t="shared" si="69"/>
        <v>82897</v>
      </c>
      <c r="G390" s="128">
        <f t="shared" si="59"/>
        <v>75331</v>
      </c>
      <c r="H390" s="112">
        <f t="shared" si="60"/>
        <v>995.65159925984665</v>
      </c>
    </row>
    <row r="391" spans="1:8" x14ac:dyDescent="0.25">
      <c r="A391" s="15"/>
      <c r="B391" s="15" t="s">
        <v>196</v>
      </c>
      <c r="C391" s="25" t="s">
        <v>197</v>
      </c>
      <c r="D391" s="16">
        <f t="shared" si="69"/>
        <v>7657</v>
      </c>
      <c r="E391" s="16">
        <f t="shared" si="69"/>
        <v>75899</v>
      </c>
      <c r="G391" s="128">
        <f t="shared" si="59"/>
        <v>68242</v>
      </c>
      <c r="H391" s="112">
        <f t="shared" si="60"/>
        <v>891.23677680553737</v>
      </c>
    </row>
    <row r="392" spans="1:8" x14ac:dyDescent="0.25">
      <c r="A392" s="18" t="s">
        <v>30</v>
      </c>
      <c r="B392" s="11" t="s">
        <v>135</v>
      </c>
      <c r="C392" s="5" t="s">
        <v>136</v>
      </c>
      <c r="D392" s="17"/>
      <c r="E392" s="17"/>
      <c r="G392" s="128">
        <f t="shared" si="59"/>
        <v>0</v>
      </c>
      <c r="H392" s="112" t="e">
        <f t="shared" si="60"/>
        <v>#DIV/0!</v>
      </c>
    </row>
    <row r="393" spans="1:8" x14ac:dyDescent="0.25">
      <c r="A393" s="18"/>
      <c r="B393" s="33" t="s">
        <v>194</v>
      </c>
      <c r="C393" s="34" t="s">
        <v>195</v>
      </c>
      <c r="D393" s="88">
        <v>2573</v>
      </c>
      <c r="E393" s="86">
        <f>'[1]BVC 2022 '!D393</f>
        <v>56636</v>
      </c>
      <c r="G393" s="128">
        <f t="shared" si="59"/>
        <v>54063</v>
      </c>
      <c r="H393" s="112">
        <f t="shared" si="60"/>
        <v>2101.1659541391373</v>
      </c>
    </row>
    <row r="394" spans="1:8" x14ac:dyDescent="0.25">
      <c r="A394" s="18"/>
      <c r="B394" s="33" t="s">
        <v>196</v>
      </c>
      <c r="C394" s="34" t="s">
        <v>197</v>
      </c>
      <c r="D394" s="88">
        <f>3666+1</f>
        <v>3667</v>
      </c>
      <c r="E394" s="86">
        <f>'[1]BVC 2022 '!D394</f>
        <v>49638</v>
      </c>
      <c r="G394" s="128">
        <f t="shared" ref="G394:G457" si="70">E394-D394</f>
        <v>45971</v>
      </c>
      <c r="H394" s="112">
        <f t="shared" ref="H394:H457" si="71">G394/D394*100</f>
        <v>1253.640578129261</v>
      </c>
    </row>
    <row r="395" spans="1:8" x14ac:dyDescent="0.25">
      <c r="A395" s="18" t="s">
        <v>30</v>
      </c>
      <c r="B395" s="11" t="s">
        <v>137</v>
      </c>
      <c r="C395" s="5" t="s">
        <v>138</v>
      </c>
      <c r="D395" s="17"/>
      <c r="E395" s="17"/>
      <c r="G395" s="128">
        <f t="shared" si="70"/>
        <v>0</v>
      </c>
      <c r="H395" s="112" t="e">
        <f t="shared" si="71"/>
        <v>#DIV/0!</v>
      </c>
    </row>
    <row r="396" spans="1:8" x14ac:dyDescent="0.25">
      <c r="A396" s="18"/>
      <c r="B396" s="33" t="s">
        <v>194</v>
      </c>
      <c r="C396" s="34" t="s">
        <v>195</v>
      </c>
      <c r="D396" s="88">
        <v>4268</v>
      </c>
      <c r="E396" s="86">
        <f>'[1]BVC 2022 '!D396</f>
        <v>22490</v>
      </c>
      <c r="G396" s="128">
        <f t="shared" si="70"/>
        <v>18222</v>
      </c>
      <c r="H396" s="112">
        <f t="shared" si="71"/>
        <v>426.94470477975636</v>
      </c>
    </row>
    <row r="397" spans="1:8" x14ac:dyDescent="0.25">
      <c r="A397" s="18"/>
      <c r="B397" s="33" t="s">
        <v>196</v>
      </c>
      <c r="C397" s="34" t="s">
        <v>197</v>
      </c>
      <c r="D397" s="88">
        <v>3539</v>
      </c>
      <c r="E397" s="86">
        <f>'[1]BVC 2022 '!D397</f>
        <v>22490</v>
      </c>
      <c r="G397" s="128">
        <f t="shared" si="70"/>
        <v>18951</v>
      </c>
      <c r="H397" s="112">
        <f t="shared" si="71"/>
        <v>535.49025148346993</v>
      </c>
    </row>
    <row r="398" spans="1:8" x14ac:dyDescent="0.25">
      <c r="A398" s="18" t="s">
        <v>30</v>
      </c>
      <c r="B398" s="11" t="s">
        <v>139</v>
      </c>
      <c r="C398" s="5" t="s">
        <v>140</v>
      </c>
      <c r="D398" s="17"/>
      <c r="E398" s="17"/>
      <c r="G398" s="128">
        <f t="shared" si="70"/>
        <v>0</v>
      </c>
      <c r="H398" s="112" t="e">
        <f t="shared" si="71"/>
        <v>#DIV/0!</v>
      </c>
    </row>
    <row r="399" spans="1:8" x14ac:dyDescent="0.25">
      <c r="A399" s="18"/>
      <c r="B399" s="33" t="s">
        <v>194</v>
      </c>
      <c r="C399" s="34" t="s">
        <v>195</v>
      </c>
      <c r="D399" s="17">
        <v>0</v>
      </c>
      <c r="E399" s="86">
        <f>'[1]BVC 2022 '!D399</f>
        <v>324</v>
      </c>
      <c r="G399" s="128">
        <f t="shared" si="70"/>
        <v>324</v>
      </c>
      <c r="H399" s="112" t="e">
        <f t="shared" si="71"/>
        <v>#DIV/0!</v>
      </c>
    </row>
    <row r="400" spans="1:8" x14ac:dyDescent="0.25">
      <c r="A400" s="18"/>
      <c r="B400" s="33" t="s">
        <v>196</v>
      </c>
      <c r="C400" s="34" t="s">
        <v>197</v>
      </c>
      <c r="D400" s="17">
        <v>0</v>
      </c>
      <c r="E400" s="86">
        <f>'[1]BVC 2022 '!D400</f>
        <v>324</v>
      </c>
      <c r="G400" s="128">
        <f t="shared" si="70"/>
        <v>324</v>
      </c>
      <c r="H400" s="112" t="e">
        <f t="shared" si="71"/>
        <v>#DIV/0!</v>
      </c>
    </row>
    <row r="401" spans="1:8" x14ac:dyDescent="0.25">
      <c r="A401" s="18" t="s">
        <v>30</v>
      </c>
      <c r="B401" s="11" t="s">
        <v>141</v>
      </c>
      <c r="C401" s="5" t="s">
        <v>320</v>
      </c>
      <c r="D401" s="17"/>
      <c r="E401" s="17"/>
      <c r="G401" s="128">
        <f t="shared" si="70"/>
        <v>0</v>
      </c>
      <c r="H401" s="112" t="e">
        <f t="shared" si="71"/>
        <v>#DIV/0!</v>
      </c>
    </row>
    <row r="402" spans="1:8" x14ac:dyDescent="0.25">
      <c r="A402" s="18"/>
      <c r="B402" s="33" t="s">
        <v>194</v>
      </c>
      <c r="C402" s="34" t="s">
        <v>195</v>
      </c>
      <c r="D402" s="17">
        <v>725</v>
      </c>
      <c r="E402" s="86">
        <f>'[1]BVC 2022 '!D402</f>
        <v>3447</v>
      </c>
      <c r="G402" s="128">
        <f t="shared" si="70"/>
        <v>2722</v>
      </c>
      <c r="H402" s="112">
        <f t="shared" si="71"/>
        <v>375.44827586206895</v>
      </c>
    </row>
    <row r="403" spans="1:8" x14ac:dyDescent="0.25">
      <c r="A403" s="18"/>
      <c r="B403" s="33" t="s">
        <v>196</v>
      </c>
      <c r="C403" s="34" t="s">
        <v>197</v>
      </c>
      <c r="D403" s="17">
        <v>451</v>
      </c>
      <c r="E403" s="86">
        <f>'[1]BVC 2022 '!D403</f>
        <v>3447</v>
      </c>
      <c r="G403" s="128">
        <f t="shared" si="70"/>
        <v>2996</v>
      </c>
      <c r="H403" s="112">
        <f t="shared" si="71"/>
        <v>664.30155210643011</v>
      </c>
    </row>
    <row r="404" spans="1:8" x14ac:dyDescent="0.25">
      <c r="A404" s="15" t="s">
        <v>30</v>
      </c>
      <c r="B404" s="15" t="s">
        <v>142</v>
      </c>
      <c r="C404" s="6" t="s">
        <v>251</v>
      </c>
      <c r="D404" s="20"/>
      <c r="E404" s="20"/>
      <c r="G404" s="128">
        <f t="shared" si="70"/>
        <v>0</v>
      </c>
      <c r="H404" s="112" t="e">
        <f t="shared" si="71"/>
        <v>#DIV/0!</v>
      </c>
    </row>
    <row r="405" spans="1:8" x14ac:dyDescent="0.25">
      <c r="A405" s="15"/>
      <c r="B405" s="15" t="s">
        <v>194</v>
      </c>
      <c r="C405" s="25" t="s">
        <v>195</v>
      </c>
      <c r="D405" s="20">
        <v>19503</v>
      </c>
      <c r="E405" s="20">
        <f>'[1]BVC 2022 '!D405</f>
        <v>36794</v>
      </c>
      <c r="G405" s="128">
        <f t="shared" si="70"/>
        <v>17291</v>
      </c>
      <c r="H405" s="112">
        <f t="shared" si="71"/>
        <v>88.658155155617081</v>
      </c>
    </row>
    <row r="406" spans="1:8" x14ac:dyDescent="0.25">
      <c r="A406" s="15"/>
      <c r="B406" s="15" t="s">
        <v>196</v>
      </c>
      <c r="C406" s="25" t="s">
        <v>197</v>
      </c>
      <c r="D406" s="20">
        <v>8180</v>
      </c>
      <c r="E406" s="20">
        <f>'[1]BVC 2022 '!D406</f>
        <v>24998</v>
      </c>
      <c r="G406" s="128">
        <f t="shared" si="70"/>
        <v>16818</v>
      </c>
      <c r="H406" s="112">
        <f t="shared" si="71"/>
        <v>205.59902200489</v>
      </c>
    </row>
    <row r="407" spans="1:8" x14ac:dyDescent="0.25">
      <c r="A407" s="21"/>
      <c r="B407" s="21"/>
      <c r="C407" s="22" t="s">
        <v>143</v>
      </c>
      <c r="D407" s="23"/>
      <c r="E407" s="23"/>
      <c r="G407" s="128">
        <f t="shared" si="70"/>
        <v>0</v>
      </c>
      <c r="H407" s="112" t="e">
        <f t="shared" si="71"/>
        <v>#DIV/0!</v>
      </c>
    </row>
    <row r="408" spans="1:8" x14ac:dyDescent="0.25">
      <c r="A408" s="21"/>
      <c r="B408" s="21" t="s">
        <v>194</v>
      </c>
      <c r="C408" s="22" t="s">
        <v>195</v>
      </c>
      <c r="D408" s="23">
        <f>D411+D489</f>
        <v>1447876</v>
      </c>
      <c r="E408" s="23">
        <f>E411+E489</f>
        <v>4235897</v>
      </c>
      <c r="G408" s="128">
        <f t="shared" si="70"/>
        <v>2788021</v>
      </c>
      <c r="H408" s="112">
        <f t="shared" si="71"/>
        <v>192.5593766317005</v>
      </c>
    </row>
    <row r="409" spans="1:8" x14ac:dyDescent="0.25">
      <c r="A409" s="21"/>
      <c r="B409" s="21" t="s">
        <v>196</v>
      </c>
      <c r="C409" s="22" t="s">
        <v>197</v>
      </c>
      <c r="D409" s="23">
        <f>D412+D490</f>
        <v>361886</v>
      </c>
      <c r="E409" s="23">
        <f>E412+E490</f>
        <v>720611</v>
      </c>
      <c r="G409" s="128">
        <f t="shared" si="70"/>
        <v>358725</v>
      </c>
      <c r="H409" s="112">
        <f t="shared" si="71"/>
        <v>99.126520506457837</v>
      </c>
    </row>
    <row r="410" spans="1:8" x14ac:dyDescent="0.25">
      <c r="A410" s="21" t="s">
        <v>30</v>
      </c>
      <c r="B410" s="21" t="s">
        <v>41</v>
      </c>
      <c r="C410" s="22" t="s">
        <v>202</v>
      </c>
      <c r="D410" s="23"/>
      <c r="E410" s="23"/>
      <c r="G410" s="128">
        <f t="shared" si="70"/>
        <v>0</v>
      </c>
      <c r="H410" s="112" t="e">
        <f t="shared" si="71"/>
        <v>#DIV/0!</v>
      </c>
    </row>
    <row r="411" spans="1:8" x14ac:dyDescent="0.25">
      <c r="A411" s="21"/>
      <c r="B411" s="21" t="s">
        <v>194</v>
      </c>
      <c r="C411" s="22" t="s">
        <v>195</v>
      </c>
      <c r="D411" s="23">
        <f>D414+D471</f>
        <v>1447449</v>
      </c>
      <c r="E411" s="23">
        <f>E414+E471</f>
        <v>4234997</v>
      </c>
      <c r="G411" s="128">
        <f t="shared" si="70"/>
        <v>2787548</v>
      </c>
      <c r="H411" s="112">
        <f t="shared" si="71"/>
        <v>192.58350380566085</v>
      </c>
    </row>
    <row r="412" spans="1:8" x14ac:dyDescent="0.25">
      <c r="A412" s="21"/>
      <c r="B412" s="21" t="s">
        <v>196</v>
      </c>
      <c r="C412" s="22" t="s">
        <v>197</v>
      </c>
      <c r="D412" s="23">
        <f>D415+D472</f>
        <v>361461</v>
      </c>
      <c r="E412" s="23">
        <f>E415+E472</f>
        <v>719711</v>
      </c>
      <c r="G412" s="128">
        <f t="shared" si="70"/>
        <v>358250</v>
      </c>
      <c r="H412" s="112">
        <f t="shared" si="71"/>
        <v>99.111660732416496</v>
      </c>
    </row>
    <row r="413" spans="1:8" x14ac:dyDescent="0.25">
      <c r="A413" s="21" t="s">
        <v>30</v>
      </c>
      <c r="B413" s="21" t="s">
        <v>32</v>
      </c>
      <c r="C413" s="22" t="s">
        <v>33</v>
      </c>
      <c r="D413" s="23"/>
      <c r="E413" s="23"/>
      <c r="G413" s="128">
        <f t="shared" si="70"/>
        <v>0</v>
      </c>
      <c r="H413" s="112" t="e">
        <f t="shared" si="71"/>
        <v>#DIV/0!</v>
      </c>
    </row>
    <row r="414" spans="1:8" x14ac:dyDescent="0.25">
      <c r="A414" s="21"/>
      <c r="B414" s="21" t="s">
        <v>194</v>
      </c>
      <c r="C414" s="22" t="s">
        <v>195</v>
      </c>
      <c r="D414" s="23">
        <f>D417+D426+D453+D465</f>
        <v>1347979</v>
      </c>
      <c r="E414" s="23">
        <f>E417+E426+E453+E465</f>
        <v>3816073</v>
      </c>
      <c r="G414" s="128">
        <f t="shared" si="70"/>
        <v>2468094</v>
      </c>
      <c r="H414" s="112">
        <f t="shared" si="71"/>
        <v>183.09587909010452</v>
      </c>
    </row>
    <row r="415" spans="1:8" x14ac:dyDescent="0.25">
      <c r="A415" s="21"/>
      <c r="B415" s="21" t="s">
        <v>196</v>
      </c>
      <c r="C415" s="22" t="s">
        <v>197</v>
      </c>
      <c r="D415" s="23">
        <f>D418+D427+D454+D466</f>
        <v>291535</v>
      </c>
      <c r="E415" s="23">
        <f>E418+E427+E454+E466</f>
        <v>597611</v>
      </c>
      <c r="G415" s="128">
        <f t="shared" si="70"/>
        <v>306076</v>
      </c>
      <c r="H415" s="112">
        <f t="shared" si="71"/>
        <v>104.98773732141939</v>
      </c>
    </row>
    <row r="416" spans="1:8" x14ac:dyDescent="0.25">
      <c r="A416" s="21" t="s">
        <v>30</v>
      </c>
      <c r="B416" s="21" t="s">
        <v>144</v>
      </c>
      <c r="C416" s="22" t="s">
        <v>198</v>
      </c>
      <c r="D416" s="23"/>
      <c r="E416" s="23"/>
      <c r="G416" s="128">
        <f t="shared" si="70"/>
        <v>0</v>
      </c>
      <c r="H416" s="112" t="e">
        <f t="shared" si="71"/>
        <v>#DIV/0!</v>
      </c>
    </row>
    <row r="417" spans="1:8" x14ac:dyDescent="0.25">
      <c r="A417" s="21"/>
      <c r="B417" s="21" t="s">
        <v>194</v>
      </c>
      <c r="C417" s="22" t="s">
        <v>195</v>
      </c>
      <c r="D417" s="23">
        <f>D420</f>
        <v>125</v>
      </c>
      <c r="E417" s="23">
        <f t="shared" ref="E417" si="72">E420</f>
        <v>225</v>
      </c>
      <c r="G417" s="128">
        <f t="shared" si="70"/>
        <v>100</v>
      </c>
      <c r="H417" s="112">
        <f t="shared" si="71"/>
        <v>80</v>
      </c>
    </row>
    <row r="418" spans="1:8" x14ac:dyDescent="0.25">
      <c r="A418" s="21"/>
      <c r="B418" s="21" t="s">
        <v>196</v>
      </c>
      <c r="C418" s="22" t="s">
        <v>197</v>
      </c>
      <c r="D418" s="23">
        <f t="shared" ref="D418:E418" si="73">D421</f>
        <v>111</v>
      </c>
      <c r="E418" s="23">
        <f t="shared" si="73"/>
        <v>225</v>
      </c>
      <c r="G418" s="128">
        <f t="shared" si="70"/>
        <v>114</v>
      </c>
      <c r="H418" s="112">
        <f t="shared" si="71"/>
        <v>102.70270270270269</v>
      </c>
    </row>
    <row r="419" spans="1:8" x14ac:dyDescent="0.25">
      <c r="A419" s="21" t="s">
        <v>30</v>
      </c>
      <c r="B419" s="21" t="s">
        <v>106</v>
      </c>
      <c r="C419" s="22" t="s">
        <v>107</v>
      </c>
      <c r="D419" s="23"/>
      <c r="E419" s="23"/>
      <c r="G419" s="128">
        <f t="shared" si="70"/>
        <v>0</v>
      </c>
      <c r="H419" s="112" t="e">
        <f t="shared" si="71"/>
        <v>#DIV/0!</v>
      </c>
    </row>
    <row r="420" spans="1:8" x14ac:dyDescent="0.25">
      <c r="A420" s="21"/>
      <c r="B420" s="21" t="s">
        <v>194</v>
      </c>
      <c r="C420" s="22" t="s">
        <v>195</v>
      </c>
      <c r="D420" s="23">
        <f>D423</f>
        <v>125</v>
      </c>
      <c r="E420" s="23">
        <f t="shared" ref="E420" si="74">E423</f>
        <v>225</v>
      </c>
      <c r="G420" s="128">
        <f t="shared" si="70"/>
        <v>100</v>
      </c>
      <c r="H420" s="112">
        <f t="shared" si="71"/>
        <v>80</v>
      </c>
    </row>
    <row r="421" spans="1:8" x14ac:dyDescent="0.25">
      <c r="A421" s="21"/>
      <c r="B421" s="21" t="s">
        <v>196</v>
      </c>
      <c r="C421" s="22" t="s">
        <v>197</v>
      </c>
      <c r="D421" s="23">
        <f t="shared" ref="D421:E421" si="75">D424</f>
        <v>111</v>
      </c>
      <c r="E421" s="23">
        <f t="shared" si="75"/>
        <v>225</v>
      </c>
      <c r="G421" s="128">
        <f t="shared" si="70"/>
        <v>114</v>
      </c>
      <c r="H421" s="112">
        <f t="shared" si="71"/>
        <v>102.70270270270269</v>
      </c>
    </row>
    <row r="422" spans="1:8" x14ac:dyDescent="0.25">
      <c r="A422" s="18" t="s">
        <v>30</v>
      </c>
      <c r="B422" s="18" t="s">
        <v>114</v>
      </c>
      <c r="C422" s="5" t="s">
        <v>186</v>
      </c>
      <c r="D422" s="17"/>
      <c r="E422" s="17"/>
      <c r="G422" s="128">
        <f t="shared" si="70"/>
        <v>0</v>
      </c>
      <c r="H422" s="112" t="e">
        <f t="shared" si="71"/>
        <v>#DIV/0!</v>
      </c>
    </row>
    <row r="423" spans="1:8" x14ac:dyDescent="0.25">
      <c r="A423" s="18"/>
      <c r="B423" s="33" t="s">
        <v>194</v>
      </c>
      <c r="C423" s="34" t="s">
        <v>195</v>
      </c>
      <c r="D423" s="88">
        <v>125</v>
      </c>
      <c r="E423" s="86">
        <f>'[1]BVC 2022 '!D423</f>
        <v>225</v>
      </c>
      <c r="G423" s="128">
        <f t="shared" si="70"/>
        <v>100</v>
      </c>
      <c r="H423" s="112">
        <f t="shared" si="71"/>
        <v>80</v>
      </c>
    </row>
    <row r="424" spans="1:8" x14ac:dyDescent="0.25">
      <c r="A424" s="18"/>
      <c r="B424" s="33" t="s">
        <v>196</v>
      </c>
      <c r="C424" s="34" t="s">
        <v>197</v>
      </c>
      <c r="D424" s="88">
        <v>111</v>
      </c>
      <c r="E424" s="86">
        <f>'[1]BVC 2022 '!D424</f>
        <v>225</v>
      </c>
      <c r="G424" s="128">
        <f t="shared" si="70"/>
        <v>114</v>
      </c>
      <c r="H424" s="112">
        <f t="shared" si="71"/>
        <v>102.70270270270269</v>
      </c>
    </row>
    <row r="425" spans="1:8" ht="38.25" x14ac:dyDescent="0.25">
      <c r="A425" s="21" t="s">
        <v>30</v>
      </c>
      <c r="B425" s="21" t="s">
        <v>35</v>
      </c>
      <c r="C425" s="22" t="s">
        <v>252</v>
      </c>
      <c r="D425" s="23"/>
      <c r="E425" s="23"/>
      <c r="G425" s="128">
        <f t="shared" si="70"/>
        <v>0</v>
      </c>
      <c r="H425" s="112" t="e">
        <f t="shared" si="71"/>
        <v>#DIV/0!</v>
      </c>
    </row>
    <row r="426" spans="1:8" x14ac:dyDescent="0.25">
      <c r="A426" s="21"/>
      <c r="B426" s="21" t="s">
        <v>194</v>
      </c>
      <c r="C426" s="22" t="s">
        <v>195</v>
      </c>
      <c r="D426" s="23">
        <f>D429+D441</f>
        <v>1341993</v>
      </c>
      <c r="E426" s="23">
        <f t="shared" ref="E426:E427" si="76">E429+E441</f>
        <v>3404608</v>
      </c>
      <c r="G426" s="128">
        <f t="shared" si="70"/>
        <v>2062615</v>
      </c>
      <c r="H426" s="112">
        <f t="shared" si="71"/>
        <v>153.69789559259996</v>
      </c>
    </row>
    <row r="427" spans="1:8" x14ac:dyDescent="0.25">
      <c r="A427" s="21"/>
      <c r="B427" s="21" t="s">
        <v>196</v>
      </c>
      <c r="C427" s="22" t="s">
        <v>197</v>
      </c>
      <c r="D427" s="23">
        <f>D430+D442</f>
        <v>264396</v>
      </c>
      <c r="E427" s="23">
        <f t="shared" si="76"/>
        <v>529313</v>
      </c>
      <c r="G427" s="128">
        <f t="shared" si="70"/>
        <v>264917</v>
      </c>
      <c r="H427" s="112">
        <f t="shared" si="71"/>
        <v>100.19705290549025</v>
      </c>
    </row>
    <row r="428" spans="1:8" x14ac:dyDescent="0.25">
      <c r="A428" s="21" t="s">
        <v>30</v>
      </c>
      <c r="B428" s="21" t="s">
        <v>117</v>
      </c>
      <c r="C428" s="22" t="s">
        <v>247</v>
      </c>
      <c r="D428" s="23"/>
      <c r="E428" s="23"/>
      <c r="G428" s="128">
        <f t="shared" si="70"/>
        <v>0</v>
      </c>
      <c r="H428" s="112" t="e">
        <f t="shared" si="71"/>
        <v>#DIV/0!</v>
      </c>
    </row>
    <row r="429" spans="1:8" x14ac:dyDescent="0.25">
      <c r="A429" s="21"/>
      <c r="B429" s="21" t="s">
        <v>194</v>
      </c>
      <c r="C429" s="22" t="s">
        <v>195</v>
      </c>
      <c r="D429" s="23">
        <f t="shared" ref="D429:E430" si="77">D432+D435+D438</f>
        <v>0</v>
      </c>
      <c r="E429" s="23">
        <f t="shared" si="77"/>
        <v>3476</v>
      </c>
      <c r="G429" s="128">
        <f t="shared" si="70"/>
        <v>3476</v>
      </c>
      <c r="H429" s="112" t="e">
        <f t="shared" si="71"/>
        <v>#DIV/0!</v>
      </c>
    </row>
    <row r="430" spans="1:8" x14ac:dyDescent="0.25">
      <c r="A430" s="21"/>
      <c r="B430" s="21" t="s">
        <v>196</v>
      </c>
      <c r="C430" s="22" t="s">
        <v>197</v>
      </c>
      <c r="D430" s="23">
        <f t="shared" si="77"/>
        <v>2961</v>
      </c>
      <c r="E430" s="23">
        <f t="shared" si="77"/>
        <v>7025</v>
      </c>
      <c r="G430" s="128">
        <f t="shared" si="70"/>
        <v>4064</v>
      </c>
      <c r="H430" s="112">
        <f t="shared" si="71"/>
        <v>137.25092874029045</v>
      </c>
    </row>
    <row r="431" spans="1:8" x14ac:dyDescent="0.25">
      <c r="A431" s="66" t="s">
        <v>30</v>
      </c>
      <c r="B431" s="66" t="s">
        <v>118</v>
      </c>
      <c r="C431" s="5" t="s">
        <v>245</v>
      </c>
      <c r="D431" s="17"/>
      <c r="E431" s="17"/>
      <c r="G431" s="128">
        <f t="shared" si="70"/>
        <v>0</v>
      </c>
      <c r="H431" s="112" t="e">
        <f t="shared" si="71"/>
        <v>#DIV/0!</v>
      </c>
    </row>
    <row r="432" spans="1:8" x14ac:dyDescent="0.25">
      <c r="A432" s="66"/>
      <c r="B432" s="33" t="s">
        <v>194</v>
      </c>
      <c r="C432" s="34" t="s">
        <v>195</v>
      </c>
      <c r="D432" s="88">
        <f>1726-1726-57+57</f>
        <v>0</v>
      </c>
      <c r="E432" s="86">
        <f>'[1]BVC 2022 '!D432</f>
        <v>522</v>
      </c>
      <c r="G432" s="128">
        <f t="shared" si="70"/>
        <v>522</v>
      </c>
      <c r="H432" s="112" t="e">
        <f t="shared" si="71"/>
        <v>#DIV/0!</v>
      </c>
    </row>
    <row r="433" spans="1:8" x14ac:dyDescent="0.25">
      <c r="A433" s="66"/>
      <c r="B433" s="33" t="s">
        <v>196</v>
      </c>
      <c r="C433" s="34" t="s">
        <v>197</v>
      </c>
      <c r="D433" s="86">
        <v>444</v>
      </c>
      <c r="E433" s="86">
        <f>'[1]BVC 2022 '!D433</f>
        <v>1053</v>
      </c>
      <c r="G433" s="128">
        <f t="shared" si="70"/>
        <v>609</v>
      </c>
      <c r="H433" s="112">
        <f t="shared" si="71"/>
        <v>137.16216216216216</v>
      </c>
    </row>
    <row r="434" spans="1:8" x14ac:dyDescent="0.25">
      <c r="A434" s="12" t="s">
        <v>30</v>
      </c>
      <c r="B434" s="12" t="s">
        <v>119</v>
      </c>
      <c r="C434" s="69" t="s">
        <v>248</v>
      </c>
      <c r="D434" s="119"/>
      <c r="E434" s="119"/>
      <c r="G434" s="128">
        <f t="shared" si="70"/>
        <v>0</v>
      </c>
      <c r="H434" s="112" t="e">
        <f t="shared" si="71"/>
        <v>#DIV/0!</v>
      </c>
    </row>
    <row r="435" spans="1:8" x14ac:dyDescent="0.25">
      <c r="A435" s="12"/>
      <c r="B435" s="33" t="s">
        <v>194</v>
      </c>
      <c r="C435" s="34" t="s">
        <v>195</v>
      </c>
      <c r="D435" s="88">
        <f>9782-9782-321+321</f>
        <v>0</v>
      </c>
      <c r="E435" s="86">
        <f>'[1]BVC 2022 '!D435</f>
        <v>2954</v>
      </c>
      <c r="G435" s="128">
        <f t="shared" si="70"/>
        <v>2954</v>
      </c>
      <c r="H435" s="112" t="e">
        <f t="shared" si="71"/>
        <v>#DIV/0!</v>
      </c>
    </row>
    <row r="436" spans="1:8" x14ac:dyDescent="0.25">
      <c r="A436" s="12"/>
      <c r="B436" s="33" t="s">
        <v>196</v>
      </c>
      <c r="C436" s="34" t="s">
        <v>197</v>
      </c>
      <c r="D436" s="86">
        <v>2517</v>
      </c>
      <c r="E436" s="86">
        <f>'[1]BVC 2022 '!D436</f>
        <v>5972</v>
      </c>
      <c r="G436" s="128">
        <f t="shared" si="70"/>
        <v>3455</v>
      </c>
      <c r="H436" s="112">
        <f t="shared" si="71"/>
        <v>137.26658720699245</v>
      </c>
    </row>
    <row r="437" spans="1:8" hidden="1" x14ac:dyDescent="0.25">
      <c r="A437" s="12" t="s">
        <v>30</v>
      </c>
      <c r="B437" s="12" t="s">
        <v>120</v>
      </c>
      <c r="C437" s="61" t="s">
        <v>116</v>
      </c>
      <c r="D437" s="70"/>
      <c r="E437" s="70"/>
      <c r="G437" s="128">
        <f t="shared" si="70"/>
        <v>0</v>
      </c>
      <c r="H437" s="112" t="e">
        <f t="shared" si="71"/>
        <v>#DIV/0!</v>
      </c>
    </row>
    <row r="438" spans="1:8" hidden="1" x14ac:dyDescent="0.25">
      <c r="A438" s="12"/>
      <c r="B438" s="33" t="s">
        <v>194</v>
      </c>
      <c r="C438" s="53" t="s">
        <v>195</v>
      </c>
      <c r="D438" s="17">
        <v>0</v>
      </c>
      <c r="E438" s="17">
        <v>0</v>
      </c>
      <c r="G438" s="128">
        <f t="shared" si="70"/>
        <v>0</v>
      </c>
      <c r="H438" s="112" t="e">
        <f t="shared" si="71"/>
        <v>#DIV/0!</v>
      </c>
    </row>
    <row r="439" spans="1:8" hidden="1" x14ac:dyDescent="0.25">
      <c r="A439" s="12"/>
      <c r="B439" s="33" t="s">
        <v>196</v>
      </c>
      <c r="C439" s="54" t="s">
        <v>197</v>
      </c>
      <c r="D439" s="29">
        <v>0</v>
      </c>
      <c r="E439" s="29">
        <v>0</v>
      </c>
      <c r="G439" s="128">
        <f t="shared" si="70"/>
        <v>0</v>
      </c>
      <c r="H439" s="112" t="e">
        <f t="shared" si="71"/>
        <v>#DIV/0!</v>
      </c>
    </row>
    <row r="440" spans="1:8" x14ac:dyDescent="0.25">
      <c r="A440" s="21" t="s">
        <v>30</v>
      </c>
      <c r="B440" s="21" t="s">
        <v>145</v>
      </c>
      <c r="C440" s="22" t="s">
        <v>307</v>
      </c>
      <c r="D440" s="23"/>
      <c r="E440" s="23"/>
      <c r="G440" s="128">
        <f t="shared" si="70"/>
        <v>0</v>
      </c>
      <c r="H440" s="112" t="e">
        <f t="shared" si="71"/>
        <v>#DIV/0!</v>
      </c>
    </row>
    <row r="441" spans="1:8" x14ac:dyDescent="0.25">
      <c r="A441" s="21"/>
      <c r="B441" s="21" t="s">
        <v>194</v>
      </c>
      <c r="C441" s="22" t="s">
        <v>195</v>
      </c>
      <c r="D441" s="23">
        <f t="shared" ref="D441:E442" si="78">D444+D447+D450</f>
        <v>1341993</v>
      </c>
      <c r="E441" s="23">
        <f t="shared" si="78"/>
        <v>3401132</v>
      </c>
      <c r="G441" s="128">
        <f t="shared" si="70"/>
        <v>2059139</v>
      </c>
      <c r="H441" s="112">
        <f t="shared" si="71"/>
        <v>153.4388778480961</v>
      </c>
    </row>
    <row r="442" spans="1:8" x14ac:dyDescent="0.25">
      <c r="A442" s="21"/>
      <c r="B442" s="21" t="s">
        <v>196</v>
      </c>
      <c r="C442" s="22" t="s">
        <v>197</v>
      </c>
      <c r="D442" s="23">
        <f t="shared" si="78"/>
        <v>261435</v>
      </c>
      <c r="E442" s="23">
        <f t="shared" si="78"/>
        <v>522288</v>
      </c>
      <c r="G442" s="128">
        <f t="shared" si="70"/>
        <v>260853</v>
      </c>
      <c r="H442" s="112">
        <f t="shared" si="71"/>
        <v>99.777382523380581</v>
      </c>
    </row>
    <row r="443" spans="1:8" x14ac:dyDescent="0.25">
      <c r="A443" s="66" t="s">
        <v>30</v>
      </c>
      <c r="B443" s="66" t="s">
        <v>146</v>
      </c>
      <c r="C443" s="5" t="s">
        <v>245</v>
      </c>
      <c r="D443" s="17"/>
      <c r="E443" s="17"/>
      <c r="G443" s="128">
        <f t="shared" si="70"/>
        <v>0</v>
      </c>
      <c r="H443" s="112" t="e">
        <f t="shared" si="71"/>
        <v>#DIV/0!</v>
      </c>
    </row>
    <row r="444" spans="1:8" x14ac:dyDescent="0.25">
      <c r="A444" s="66"/>
      <c r="B444" s="33" t="s">
        <v>194</v>
      </c>
      <c r="C444" s="34" t="s">
        <v>195</v>
      </c>
      <c r="D444" s="88">
        <v>169340</v>
      </c>
      <c r="E444" s="86">
        <f>'[1]BVC 2022 '!D444</f>
        <v>440613</v>
      </c>
      <c r="G444" s="128">
        <f t="shared" si="70"/>
        <v>271273</v>
      </c>
      <c r="H444" s="112">
        <f t="shared" si="71"/>
        <v>160.19428368961852</v>
      </c>
    </row>
    <row r="445" spans="1:8" x14ac:dyDescent="0.25">
      <c r="A445" s="66"/>
      <c r="B445" s="33" t="s">
        <v>196</v>
      </c>
      <c r="C445" s="34" t="s">
        <v>197</v>
      </c>
      <c r="D445" s="86">
        <v>32970</v>
      </c>
      <c r="E445" s="86">
        <f>'[1]BVC 2022 '!D445</f>
        <v>66410</v>
      </c>
      <c r="G445" s="128">
        <f t="shared" si="70"/>
        <v>33440</v>
      </c>
      <c r="H445" s="112">
        <f t="shared" si="71"/>
        <v>101.42553836821352</v>
      </c>
    </row>
    <row r="446" spans="1:8" x14ac:dyDescent="0.25">
      <c r="A446" s="12" t="s">
        <v>30</v>
      </c>
      <c r="B446" s="12" t="s">
        <v>147</v>
      </c>
      <c r="C446" s="69" t="s">
        <v>248</v>
      </c>
      <c r="D446" s="119"/>
      <c r="E446" s="119"/>
      <c r="G446" s="128">
        <f t="shared" si="70"/>
        <v>0</v>
      </c>
      <c r="H446" s="112" t="e">
        <f t="shared" si="71"/>
        <v>#DIV/0!</v>
      </c>
    </row>
    <row r="447" spans="1:8" x14ac:dyDescent="0.25">
      <c r="A447" s="12"/>
      <c r="B447" s="33" t="s">
        <v>194</v>
      </c>
      <c r="C447" s="34" t="s">
        <v>195</v>
      </c>
      <c r="D447" s="88">
        <v>959601</v>
      </c>
      <c r="E447" s="86">
        <f>'[1]BVC 2022 '!D447</f>
        <v>2495232</v>
      </c>
      <c r="G447" s="128">
        <f t="shared" si="70"/>
        <v>1535631</v>
      </c>
      <c r="H447" s="112">
        <f t="shared" si="71"/>
        <v>160.02807416832621</v>
      </c>
    </row>
    <row r="448" spans="1:8" x14ac:dyDescent="0.25">
      <c r="A448" s="12"/>
      <c r="B448" s="33" t="s">
        <v>196</v>
      </c>
      <c r="C448" s="34" t="s">
        <v>197</v>
      </c>
      <c r="D448" s="86">
        <v>186833</v>
      </c>
      <c r="E448" s="86">
        <f>'[1]BVC 2022 '!D448</f>
        <v>376334</v>
      </c>
      <c r="G448" s="128">
        <f t="shared" si="70"/>
        <v>189501</v>
      </c>
      <c r="H448" s="112">
        <f t="shared" si="71"/>
        <v>101.42801325247682</v>
      </c>
    </row>
    <row r="449" spans="1:8" x14ac:dyDescent="0.25">
      <c r="A449" s="12" t="s">
        <v>30</v>
      </c>
      <c r="B449" s="12" t="s">
        <v>256</v>
      </c>
      <c r="C449" s="61" t="s">
        <v>116</v>
      </c>
      <c r="D449" s="119"/>
      <c r="E449" s="119"/>
      <c r="G449" s="128">
        <f t="shared" si="70"/>
        <v>0</v>
      </c>
      <c r="H449" s="112" t="e">
        <f t="shared" si="71"/>
        <v>#DIV/0!</v>
      </c>
    </row>
    <row r="450" spans="1:8" x14ac:dyDescent="0.25">
      <c r="A450" s="12"/>
      <c r="B450" s="33" t="s">
        <v>194</v>
      </c>
      <c r="C450" s="53" t="s">
        <v>195</v>
      </c>
      <c r="D450" s="88">
        <v>213052</v>
      </c>
      <c r="E450" s="86">
        <f>'[1]BVC 2022 '!D450</f>
        <v>465287</v>
      </c>
      <c r="G450" s="128">
        <f t="shared" si="70"/>
        <v>252235</v>
      </c>
      <c r="H450" s="112">
        <f t="shared" si="71"/>
        <v>118.39128475677299</v>
      </c>
    </row>
    <row r="451" spans="1:8" x14ac:dyDescent="0.25">
      <c r="A451" s="12"/>
      <c r="B451" s="33" t="s">
        <v>196</v>
      </c>
      <c r="C451" s="54" t="s">
        <v>197</v>
      </c>
      <c r="D451" s="88">
        <f>41631+1</f>
        <v>41632</v>
      </c>
      <c r="E451" s="86">
        <f>'[1]BVC 2022 '!D451</f>
        <v>79544</v>
      </c>
      <c r="G451" s="128">
        <f t="shared" si="70"/>
        <v>37912</v>
      </c>
      <c r="H451" s="112">
        <f t="shared" si="71"/>
        <v>91.06456571867794</v>
      </c>
    </row>
    <row r="452" spans="1:8" ht="25.5" x14ac:dyDescent="0.25">
      <c r="A452" s="21" t="s">
        <v>30</v>
      </c>
      <c r="B452" s="21">
        <v>61</v>
      </c>
      <c r="C452" s="22" t="s">
        <v>334</v>
      </c>
      <c r="D452" s="23"/>
      <c r="E452" s="23"/>
      <c r="G452" s="128">
        <f t="shared" si="70"/>
        <v>0</v>
      </c>
      <c r="H452" s="112" t="e">
        <f t="shared" si="71"/>
        <v>#DIV/0!</v>
      </c>
    </row>
    <row r="453" spans="1:8" x14ac:dyDescent="0.25">
      <c r="A453" s="21"/>
      <c r="B453" s="21" t="s">
        <v>194</v>
      </c>
      <c r="C453" s="22" t="s">
        <v>195</v>
      </c>
      <c r="D453" s="23">
        <f>D456+D459+D462</f>
        <v>0</v>
      </c>
      <c r="E453" s="23">
        <f t="shared" ref="E453:E454" si="79">E456+E459+E462</f>
        <v>355334</v>
      </c>
      <c r="G453" s="128">
        <f t="shared" si="70"/>
        <v>355334</v>
      </c>
      <c r="H453" s="112" t="e">
        <f t="shared" si="71"/>
        <v>#DIV/0!</v>
      </c>
    </row>
    <row r="454" spans="1:8" x14ac:dyDescent="0.25">
      <c r="A454" s="21"/>
      <c r="B454" s="21" t="s">
        <v>196</v>
      </c>
      <c r="C454" s="22" t="s">
        <v>197</v>
      </c>
      <c r="D454" s="23">
        <f>D457+D460+D463</f>
        <v>0</v>
      </c>
      <c r="E454" s="23">
        <f t="shared" si="79"/>
        <v>29573</v>
      </c>
      <c r="G454" s="128">
        <f t="shared" si="70"/>
        <v>29573</v>
      </c>
      <c r="H454" s="112" t="e">
        <f t="shared" si="71"/>
        <v>#DIV/0!</v>
      </c>
    </row>
    <row r="455" spans="1:8" x14ac:dyDescent="0.25">
      <c r="A455" s="33" t="s">
        <v>30</v>
      </c>
      <c r="B455" s="124" t="s">
        <v>335</v>
      </c>
      <c r="C455" s="125" t="s">
        <v>328</v>
      </c>
      <c r="D455" s="126"/>
      <c r="E455" s="126"/>
      <c r="G455" s="128">
        <f t="shared" si="70"/>
        <v>0</v>
      </c>
      <c r="H455" s="112" t="e">
        <f t="shared" si="71"/>
        <v>#DIV/0!</v>
      </c>
    </row>
    <row r="456" spans="1:8" x14ac:dyDescent="0.25">
      <c r="A456" s="33"/>
      <c r="B456" s="33" t="s">
        <v>194</v>
      </c>
      <c r="C456" s="34" t="s">
        <v>195</v>
      </c>
      <c r="D456" s="126">
        <v>0</v>
      </c>
      <c r="E456" s="86">
        <f>'[1]BVC 2022 '!D456</f>
        <v>300309</v>
      </c>
      <c r="G456" s="128">
        <f t="shared" si="70"/>
        <v>300309</v>
      </c>
      <c r="H456" s="112" t="e">
        <f t="shared" si="71"/>
        <v>#DIV/0!</v>
      </c>
    </row>
    <row r="457" spans="1:8" x14ac:dyDescent="0.25">
      <c r="A457" s="33"/>
      <c r="B457" s="33" t="s">
        <v>196</v>
      </c>
      <c r="C457" s="34" t="s">
        <v>197</v>
      </c>
      <c r="D457" s="126">
        <v>0</v>
      </c>
      <c r="E457" s="86">
        <f>'[1]BVC 2022 '!D457</f>
        <v>25036</v>
      </c>
      <c r="G457" s="128">
        <f t="shared" si="70"/>
        <v>25036</v>
      </c>
      <c r="H457" s="112" t="e">
        <f t="shared" si="71"/>
        <v>#DIV/0!</v>
      </c>
    </row>
    <row r="458" spans="1:8" x14ac:dyDescent="0.25">
      <c r="A458" s="33" t="s">
        <v>30</v>
      </c>
      <c r="B458" s="124" t="s">
        <v>336</v>
      </c>
      <c r="C458" s="125" t="s">
        <v>330</v>
      </c>
      <c r="D458" s="126"/>
      <c r="E458" s="126"/>
      <c r="G458" s="128">
        <f t="shared" ref="G458:G532" si="80">E458-D458</f>
        <v>0</v>
      </c>
      <c r="H458" s="112" t="e">
        <f t="shared" ref="H458:H532" si="81">G458/D458*100</f>
        <v>#DIV/0!</v>
      </c>
    </row>
    <row r="459" spans="1:8" x14ac:dyDescent="0.25">
      <c r="A459" s="33"/>
      <c r="B459" s="33" t="s">
        <v>194</v>
      </c>
      <c r="C459" s="34" t="s">
        <v>195</v>
      </c>
      <c r="D459" s="126">
        <v>0</v>
      </c>
      <c r="E459" s="86">
        <f>'[1]BVC 2022 '!D459</f>
        <v>0</v>
      </c>
      <c r="G459" s="128">
        <f t="shared" si="80"/>
        <v>0</v>
      </c>
      <c r="H459" s="112" t="e">
        <f t="shared" si="81"/>
        <v>#DIV/0!</v>
      </c>
    </row>
    <row r="460" spans="1:8" x14ac:dyDescent="0.25">
      <c r="A460" s="33"/>
      <c r="B460" s="33" t="s">
        <v>196</v>
      </c>
      <c r="C460" s="34" t="s">
        <v>197</v>
      </c>
      <c r="D460" s="126">
        <v>0</v>
      </c>
      <c r="E460" s="86">
        <f>'[1]BVC 2022 '!D460</f>
        <v>0</v>
      </c>
      <c r="G460" s="128">
        <f t="shared" si="80"/>
        <v>0</v>
      </c>
      <c r="H460" s="112" t="e">
        <f t="shared" si="81"/>
        <v>#DIV/0!</v>
      </c>
    </row>
    <row r="461" spans="1:8" x14ac:dyDescent="0.25">
      <c r="A461" s="33" t="s">
        <v>30</v>
      </c>
      <c r="B461" s="124" t="s">
        <v>337</v>
      </c>
      <c r="C461" s="125" t="s">
        <v>332</v>
      </c>
      <c r="D461" s="126"/>
      <c r="E461" s="126"/>
      <c r="G461" s="128">
        <f t="shared" si="80"/>
        <v>0</v>
      </c>
      <c r="H461" s="112" t="e">
        <f t="shared" si="81"/>
        <v>#DIV/0!</v>
      </c>
    </row>
    <row r="462" spans="1:8" x14ac:dyDescent="0.25">
      <c r="A462" s="33"/>
      <c r="B462" s="33" t="s">
        <v>194</v>
      </c>
      <c r="C462" s="34" t="s">
        <v>195</v>
      </c>
      <c r="D462" s="126">
        <v>0</v>
      </c>
      <c r="E462" s="86">
        <f>'[1]BVC 2022 '!D462</f>
        <v>55025</v>
      </c>
      <c r="G462" s="128">
        <f t="shared" si="80"/>
        <v>55025</v>
      </c>
      <c r="H462" s="112" t="e">
        <f t="shared" si="81"/>
        <v>#DIV/0!</v>
      </c>
    </row>
    <row r="463" spans="1:8" x14ac:dyDescent="0.25">
      <c r="A463" s="33"/>
      <c r="B463" s="33" t="s">
        <v>196</v>
      </c>
      <c r="C463" s="34" t="s">
        <v>197</v>
      </c>
      <c r="D463" s="126">
        <v>0</v>
      </c>
      <c r="E463" s="86">
        <f>'[1]BVC 2022 '!D463</f>
        <v>4537</v>
      </c>
      <c r="G463" s="128">
        <f t="shared" si="80"/>
        <v>4537</v>
      </c>
      <c r="H463" s="112" t="e">
        <f t="shared" si="81"/>
        <v>#DIV/0!</v>
      </c>
    </row>
    <row r="464" spans="1:8" ht="25.5" x14ac:dyDescent="0.25">
      <c r="A464" s="35" t="s">
        <v>30</v>
      </c>
      <c r="B464" s="35" t="s">
        <v>148</v>
      </c>
      <c r="C464" s="22" t="s">
        <v>201</v>
      </c>
      <c r="D464" s="23"/>
      <c r="E464" s="23"/>
      <c r="G464" s="128">
        <f t="shared" si="80"/>
        <v>0</v>
      </c>
      <c r="H464" s="112" t="e">
        <f t="shared" si="81"/>
        <v>#DIV/0!</v>
      </c>
    </row>
    <row r="465" spans="1:8" x14ac:dyDescent="0.25">
      <c r="A465" s="35"/>
      <c r="B465" s="21" t="s">
        <v>194</v>
      </c>
      <c r="C465" s="22" t="s">
        <v>195</v>
      </c>
      <c r="D465" s="23">
        <f>D468</f>
        <v>5861</v>
      </c>
      <c r="E465" s="23">
        <f t="shared" ref="E465" si="82">E468</f>
        <v>55906</v>
      </c>
      <c r="G465" s="128">
        <f t="shared" si="80"/>
        <v>50045</v>
      </c>
      <c r="H465" s="112">
        <f t="shared" si="81"/>
        <v>853.86452823750221</v>
      </c>
    </row>
    <row r="466" spans="1:8" x14ac:dyDescent="0.25">
      <c r="A466" s="35"/>
      <c r="B466" s="21" t="s">
        <v>196</v>
      </c>
      <c r="C466" s="22" t="s">
        <v>197</v>
      </c>
      <c r="D466" s="23">
        <f t="shared" ref="D466:E466" si="83">D469</f>
        <v>27028</v>
      </c>
      <c r="E466" s="23">
        <f t="shared" si="83"/>
        <v>38500</v>
      </c>
      <c r="G466" s="128">
        <f t="shared" si="80"/>
        <v>11472</v>
      </c>
      <c r="H466" s="112">
        <f t="shared" si="81"/>
        <v>42.444871984608554</v>
      </c>
    </row>
    <row r="467" spans="1:8" ht="25.5" x14ac:dyDescent="0.25">
      <c r="A467" s="12" t="s">
        <v>30</v>
      </c>
      <c r="B467" s="12" t="s">
        <v>149</v>
      </c>
      <c r="C467" s="5" t="s">
        <v>255</v>
      </c>
      <c r="D467" s="17"/>
      <c r="E467" s="17"/>
      <c r="G467" s="128">
        <f t="shared" si="80"/>
        <v>0</v>
      </c>
      <c r="H467" s="112" t="e">
        <f t="shared" si="81"/>
        <v>#DIV/0!</v>
      </c>
    </row>
    <row r="468" spans="1:8" x14ac:dyDescent="0.25">
      <c r="A468" s="12"/>
      <c r="B468" s="33" t="s">
        <v>194</v>
      </c>
      <c r="C468" s="34" t="s">
        <v>195</v>
      </c>
      <c r="D468" s="88">
        <v>5861</v>
      </c>
      <c r="E468" s="86">
        <f>'[1]BVC 2022 '!D468</f>
        <v>55906</v>
      </c>
      <c r="G468" s="128">
        <f t="shared" si="80"/>
        <v>50045</v>
      </c>
      <c r="H468" s="112">
        <f t="shared" si="81"/>
        <v>853.86452823750221</v>
      </c>
    </row>
    <row r="469" spans="1:8" x14ac:dyDescent="0.25">
      <c r="A469" s="12"/>
      <c r="B469" s="33" t="s">
        <v>196</v>
      </c>
      <c r="C469" s="34" t="s">
        <v>197</v>
      </c>
      <c r="D469" s="88">
        <v>27028</v>
      </c>
      <c r="E469" s="86">
        <f>'[1]BVC 2022 '!D469</f>
        <v>38500</v>
      </c>
      <c r="G469" s="128">
        <f t="shared" si="80"/>
        <v>11472</v>
      </c>
      <c r="H469" s="112">
        <f t="shared" si="81"/>
        <v>42.444871984608554</v>
      </c>
    </row>
    <row r="470" spans="1:8" x14ac:dyDescent="0.25">
      <c r="A470" s="21" t="s">
        <v>30</v>
      </c>
      <c r="B470" s="21" t="s">
        <v>129</v>
      </c>
      <c r="C470" s="22" t="s">
        <v>38</v>
      </c>
      <c r="D470" s="23"/>
      <c r="E470" s="23"/>
      <c r="G470" s="128">
        <f t="shared" si="80"/>
        <v>0</v>
      </c>
      <c r="H470" s="112" t="e">
        <f t="shared" si="81"/>
        <v>#DIV/0!</v>
      </c>
    </row>
    <row r="471" spans="1:8" x14ac:dyDescent="0.25">
      <c r="A471" s="21"/>
      <c r="B471" s="21" t="s">
        <v>194</v>
      </c>
      <c r="C471" s="22" t="s">
        <v>195</v>
      </c>
      <c r="D471" s="23">
        <f t="shared" ref="D471:E472" si="84">D474</f>
        <v>99470</v>
      </c>
      <c r="E471" s="23">
        <f t="shared" si="84"/>
        <v>418924</v>
      </c>
      <c r="G471" s="128">
        <f t="shared" si="80"/>
        <v>319454</v>
      </c>
      <c r="H471" s="112">
        <f t="shared" si="81"/>
        <v>321.15612747562079</v>
      </c>
    </row>
    <row r="472" spans="1:8" x14ac:dyDescent="0.25">
      <c r="A472" s="21"/>
      <c r="B472" s="21" t="s">
        <v>196</v>
      </c>
      <c r="C472" s="22" t="s">
        <v>197</v>
      </c>
      <c r="D472" s="23">
        <f t="shared" si="84"/>
        <v>69926</v>
      </c>
      <c r="E472" s="23">
        <f t="shared" si="84"/>
        <v>122100</v>
      </c>
      <c r="G472" s="128">
        <f t="shared" si="80"/>
        <v>52174</v>
      </c>
      <c r="H472" s="112">
        <f t="shared" si="81"/>
        <v>74.61316248605668</v>
      </c>
    </row>
    <row r="473" spans="1:8" x14ac:dyDescent="0.25">
      <c r="A473" s="21" t="s">
        <v>30</v>
      </c>
      <c r="B473" s="21" t="s">
        <v>131</v>
      </c>
      <c r="C473" s="22" t="s">
        <v>132</v>
      </c>
      <c r="D473" s="23"/>
      <c r="E473" s="23"/>
      <c r="G473" s="128">
        <f t="shared" si="80"/>
        <v>0</v>
      </c>
      <c r="H473" s="112" t="e">
        <f t="shared" si="81"/>
        <v>#DIV/0!</v>
      </c>
    </row>
    <row r="474" spans="1:8" x14ac:dyDescent="0.25">
      <c r="A474" s="21"/>
      <c r="B474" s="21" t="s">
        <v>194</v>
      </c>
      <c r="C474" s="22" t="s">
        <v>195</v>
      </c>
      <c r="D474" s="23">
        <f>D477+D486</f>
        <v>99470</v>
      </c>
      <c r="E474" s="23">
        <f>E477+E486</f>
        <v>418924</v>
      </c>
      <c r="G474" s="128">
        <f t="shared" si="80"/>
        <v>319454</v>
      </c>
      <c r="H474" s="112">
        <f t="shared" si="81"/>
        <v>321.15612747562079</v>
      </c>
    </row>
    <row r="475" spans="1:8" x14ac:dyDescent="0.25">
      <c r="A475" s="21"/>
      <c r="B475" s="21" t="s">
        <v>196</v>
      </c>
      <c r="C475" s="22" t="s">
        <v>197</v>
      </c>
      <c r="D475" s="23">
        <f>D478+D487</f>
        <v>69926</v>
      </c>
      <c r="E475" s="23">
        <f>E478+E487</f>
        <v>122100</v>
      </c>
      <c r="G475" s="128">
        <f t="shared" si="80"/>
        <v>52174</v>
      </c>
      <c r="H475" s="112">
        <f t="shared" si="81"/>
        <v>74.61316248605668</v>
      </c>
    </row>
    <row r="476" spans="1:8" x14ac:dyDescent="0.25">
      <c r="A476" s="21" t="s">
        <v>30</v>
      </c>
      <c r="B476" s="21" t="s">
        <v>133</v>
      </c>
      <c r="C476" s="22" t="s">
        <v>134</v>
      </c>
      <c r="D476" s="23"/>
      <c r="E476" s="23"/>
      <c r="G476" s="128">
        <f t="shared" si="80"/>
        <v>0</v>
      </c>
      <c r="H476" s="112" t="e">
        <f t="shared" si="81"/>
        <v>#DIV/0!</v>
      </c>
    </row>
    <row r="477" spans="1:8" x14ac:dyDescent="0.25">
      <c r="A477" s="21"/>
      <c r="B477" s="21" t="s">
        <v>194</v>
      </c>
      <c r="C477" s="22" t="s">
        <v>195</v>
      </c>
      <c r="D477" s="23">
        <f t="shared" ref="D477:E478" si="85">D480+D483</f>
        <v>99470</v>
      </c>
      <c r="E477" s="23">
        <f t="shared" si="85"/>
        <v>401403</v>
      </c>
      <c r="G477" s="128">
        <f t="shared" si="80"/>
        <v>301933</v>
      </c>
      <c r="H477" s="112">
        <f t="shared" si="81"/>
        <v>303.54177138835831</v>
      </c>
    </row>
    <row r="478" spans="1:8" x14ac:dyDescent="0.25">
      <c r="A478" s="21"/>
      <c r="B478" s="21" t="s">
        <v>196</v>
      </c>
      <c r="C478" s="22" t="s">
        <v>197</v>
      </c>
      <c r="D478" s="23">
        <f t="shared" si="85"/>
        <v>69926</v>
      </c>
      <c r="E478" s="23">
        <f t="shared" si="85"/>
        <v>122100</v>
      </c>
      <c r="G478" s="128">
        <f t="shared" si="80"/>
        <v>52174</v>
      </c>
      <c r="H478" s="112">
        <f t="shared" si="81"/>
        <v>74.61316248605668</v>
      </c>
    </row>
    <row r="479" spans="1:8" x14ac:dyDescent="0.25">
      <c r="A479" s="18" t="s">
        <v>30</v>
      </c>
      <c r="B479" s="18" t="s">
        <v>135</v>
      </c>
      <c r="C479" s="5" t="s">
        <v>136</v>
      </c>
      <c r="D479" s="17"/>
      <c r="E479" s="17"/>
      <c r="G479" s="128">
        <f t="shared" si="80"/>
        <v>0</v>
      </c>
      <c r="H479" s="112" t="e">
        <f t="shared" si="81"/>
        <v>#DIV/0!</v>
      </c>
    </row>
    <row r="480" spans="1:8" x14ac:dyDescent="0.25">
      <c r="A480" s="18"/>
      <c r="B480" s="33" t="s">
        <v>194</v>
      </c>
      <c r="C480" s="34" t="s">
        <v>195</v>
      </c>
      <c r="D480" s="88">
        <v>99470</v>
      </c>
      <c r="E480" s="86">
        <f>'[1]BVC 2022 '!D480</f>
        <v>401403</v>
      </c>
      <c r="G480" s="128">
        <f t="shared" si="80"/>
        <v>301933</v>
      </c>
      <c r="H480" s="112">
        <f t="shared" si="81"/>
        <v>303.54177138835831</v>
      </c>
    </row>
    <row r="481" spans="1:8" x14ac:dyDescent="0.25">
      <c r="A481" s="18"/>
      <c r="B481" s="33" t="s">
        <v>196</v>
      </c>
      <c r="C481" s="34" t="s">
        <v>197</v>
      </c>
      <c r="D481" s="86">
        <v>69926</v>
      </c>
      <c r="E481" s="86">
        <f>'[1]BVC 2022 '!D481</f>
        <v>122100</v>
      </c>
      <c r="G481" s="128">
        <f t="shared" si="80"/>
        <v>52174</v>
      </c>
      <c r="H481" s="112">
        <f t="shared" si="81"/>
        <v>74.61316248605668</v>
      </c>
    </row>
    <row r="482" spans="1:8" x14ac:dyDescent="0.25">
      <c r="A482" s="18" t="s">
        <v>30</v>
      </c>
      <c r="B482" s="18" t="s">
        <v>141</v>
      </c>
      <c r="C482" s="5" t="s">
        <v>14</v>
      </c>
      <c r="D482" s="88"/>
      <c r="E482" s="88"/>
      <c r="G482" s="128">
        <f t="shared" si="80"/>
        <v>0</v>
      </c>
      <c r="H482" s="112" t="e">
        <f t="shared" si="81"/>
        <v>#DIV/0!</v>
      </c>
    </row>
    <row r="483" spans="1:8" x14ac:dyDescent="0.25">
      <c r="A483" s="18"/>
      <c r="B483" s="33" t="s">
        <v>194</v>
      </c>
      <c r="C483" s="34" t="s">
        <v>195</v>
      </c>
      <c r="D483" s="86">
        <f>-644+644</f>
        <v>0</v>
      </c>
      <c r="E483" s="86">
        <f>'[1]BVC 2022 '!D483</f>
        <v>0</v>
      </c>
      <c r="G483" s="128">
        <f t="shared" si="80"/>
        <v>0</v>
      </c>
      <c r="H483" s="112" t="e">
        <f t="shared" si="81"/>
        <v>#DIV/0!</v>
      </c>
    </row>
    <row r="484" spans="1:8" x14ac:dyDescent="0.25">
      <c r="A484" s="18"/>
      <c r="B484" s="33" t="s">
        <v>196</v>
      </c>
      <c r="C484" s="34" t="s">
        <v>197</v>
      </c>
      <c r="D484" s="86">
        <v>0</v>
      </c>
      <c r="E484" s="86">
        <f>'[1]BVC 2022 '!D484</f>
        <v>0</v>
      </c>
      <c r="G484" s="128">
        <f t="shared" si="80"/>
        <v>0</v>
      </c>
      <c r="H484" s="112" t="e">
        <f t="shared" si="81"/>
        <v>#DIV/0!</v>
      </c>
    </row>
    <row r="485" spans="1:8" x14ac:dyDescent="0.25">
      <c r="A485" s="18" t="s">
        <v>30</v>
      </c>
      <c r="B485" s="18" t="s">
        <v>142</v>
      </c>
      <c r="C485" s="5" t="s">
        <v>342</v>
      </c>
      <c r="D485" s="86"/>
      <c r="E485" s="86"/>
      <c r="G485" s="128"/>
      <c r="H485" s="112"/>
    </row>
    <row r="486" spans="1:8" x14ac:dyDescent="0.25">
      <c r="A486" s="18"/>
      <c r="B486" s="33" t="s">
        <v>194</v>
      </c>
      <c r="C486" s="34" t="s">
        <v>195</v>
      </c>
      <c r="D486" s="86"/>
      <c r="E486" s="86">
        <f>'[1]BVC 2022 '!D486</f>
        <v>17521</v>
      </c>
      <c r="G486" s="128"/>
      <c r="H486" s="112"/>
    </row>
    <row r="487" spans="1:8" x14ac:dyDescent="0.25">
      <c r="A487" s="18"/>
      <c r="B487" s="33" t="s">
        <v>196</v>
      </c>
      <c r="C487" s="34" t="s">
        <v>197</v>
      </c>
      <c r="D487" s="86"/>
      <c r="E487" s="86">
        <f>'[1]BVC 2022 '!D487</f>
        <v>0</v>
      </c>
      <c r="G487" s="128"/>
      <c r="H487" s="112"/>
    </row>
    <row r="488" spans="1:8" x14ac:dyDescent="0.25">
      <c r="A488" s="21" t="s">
        <v>150</v>
      </c>
      <c r="B488" s="21" t="s">
        <v>151</v>
      </c>
      <c r="C488" s="22" t="s">
        <v>253</v>
      </c>
      <c r="D488" s="23"/>
      <c r="E488" s="23"/>
      <c r="G488" s="128">
        <f t="shared" si="80"/>
        <v>0</v>
      </c>
      <c r="H488" s="112" t="e">
        <f t="shared" si="81"/>
        <v>#DIV/0!</v>
      </c>
    </row>
    <row r="489" spans="1:8" x14ac:dyDescent="0.25">
      <c r="A489" s="21"/>
      <c r="B489" s="21" t="s">
        <v>194</v>
      </c>
      <c r="C489" s="22" t="s">
        <v>195</v>
      </c>
      <c r="D489" s="23">
        <f t="shared" ref="D489:E490" si="86">D492+D501</f>
        <v>427</v>
      </c>
      <c r="E489" s="23">
        <f t="shared" si="86"/>
        <v>900</v>
      </c>
      <c r="G489" s="128">
        <f t="shared" si="80"/>
        <v>473</v>
      </c>
      <c r="H489" s="112">
        <f t="shared" si="81"/>
        <v>110.77283372365339</v>
      </c>
    </row>
    <row r="490" spans="1:8" x14ac:dyDescent="0.25">
      <c r="A490" s="21"/>
      <c r="B490" s="21" t="s">
        <v>196</v>
      </c>
      <c r="C490" s="22" t="s">
        <v>197</v>
      </c>
      <c r="D490" s="23">
        <f t="shared" si="86"/>
        <v>425</v>
      </c>
      <c r="E490" s="23">
        <f t="shared" si="86"/>
        <v>900</v>
      </c>
      <c r="G490" s="128">
        <f t="shared" si="80"/>
        <v>475</v>
      </c>
      <c r="H490" s="112">
        <f t="shared" si="81"/>
        <v>111.76470588235294</v>
      </c>
    </row>
    <row r="491" spans="1:8" x14ac:dyDescent="0.25">
      <c r="A491" s="21" t="s">
        <v>150</v>
      </c>
      <c r="B491" s="21" t="s">
        <v>32</v>
      </c>
      <c r="C491" s="22" t="s">
        <v>33</v>
      </c>
      <c r="D491" s="23"/>
      <c r="E491" s="23"/>
      <c r="G491" s="128">
        <f t="shared" si="80"/>
        <v>0</v>
      </c>
      <c r="H491" s="112" t="e">
        <f t="shared" si="81"/>
        <v>#DIV/0!</v>
      </c>
    </row>
    <row r="492" spans="1:8" x14ac:dyDescent="0.25">
      <c r="A492" s="21"/>
      <c r="B492" s="21" t="s">
        <v>194</v>
      </c>
      <c r="C492" s="22" t="s">
        <v>195</v>
      </c>
      <c r="D492" s="23">
        <f t="shared" ref="D492:E493" si="87">D495</f>
        <v>427</v>
      </c>
      <c r="E492" s="23">
        <f t="shared" si="87"/>
        <v>450</v>
      </c>
      <c r="G492" s="128">
        <f t="shared" si="80"/>
        <v>23</v>
      </c>
      <c r="H492" s="112">
        <f t="shared" si="81"/>
        <v>5.3864168618266977</v>
      </c>
    </row>
    <row r="493" spans="1:8" x14ac:dyDescent="0.25">
      <c r="A493" s="21"/>
      <c r="B493" s="21" t="s">
        <v>196</v>
      </c>
      <c r="C493" s="22" t="s">
        <v>197</v>
      </c>
      <c r="D493" s="23">
        <f t="shared" si="87"/>
        <v>425</v>
      </c>
      <c r="E493" s="23">
        <f t="shared" si="87"/>
        <v>450</v>
      </c>
      <c r="G493" s="128">
        <f t="shared" si="80"/>
        <v>25</v>
      </c>
      <c r="H493" s="112">
        <f t="shared" si="81"/>
        <v>5.8823529411764701</v>
      </c>
    </row>
    <row r="494" spans="1:8" x14ac:dyDescent="0.25">
      <c r="A494" s="21" t="s">
        <v>150</v>
      </c>
      <c r="B494" s="21" t="s">
        <v>144</v>
      </c>
      <c r="C494" s="22" t="s">
        <v>198</v>
      </c>
      <c r="D494" s="23"/>
      <c r="E494" s="23"/>
      <c r="G494" s="128">
        <f t="shared" si="80"/>
        <v>0</v>
      </c>
      <c r="H494" s="112" t="e">
        <f t="shared" si="81"/>
        <v>#DIV/0!</v>
      </c>
    </row>
    <row r="495" spans="1:8" x14ac:dyDescent="0.25">
      <c r="A495" s="21"/>
      <c r="B495" s="21" t="s">
        <v>194</v>
      </c>
      <c r="C495" s="22" t="s">
        <v>195</v>
      </c>
      <c r="D495" s="23">
        <f t="shared" ref="D495:E496" si="88">D498</f>
        <v>427</v>
      </c>
      <c r="E495" s="23">
        <f t="shared" si="88"/>
        <v>450</v>
      </c>
      <c r="G495" s="128">
        <f t="shared" si="80"/>
        <v>23</v>
      </c>
      <c r="H495" s="112">
        <f t="shared" si="81"/>
        <v>5.3864168618266977</v>
      </c>
    </row>
    <row r="496" spans="1:8" x14ac:dyDescent="0.25">
      <c r="A496" s="21"/>
      <c r="B496" s="21" t="s">
        <v>196</v>
      </c>
      <c r="C496" s="22" t="s">
        <v>197</v>
      </c>
      <c r="D496" s="23">
        <f t="shared" si="88"/>
        <v>425</v>
      </c>
      <c r="E496" s="23">
        <f t="shared" si="88"/>
        <v>450</v>
      </c>
      <c r="G496" s="128">
        <f t="shared" si="80"/>
        <v>25</v>
      </c>
      <c r="H496" s="112">
        <f t="shared" si="81"/>
        <v>5.8823529411764701</v>
      </c>
    </row>
    <row r="497" spans="1:8" x14ac:dyDescent="0.25">
      <c r="A497" s="18" t="s">
        <v>150</v>
      </c>
      <c r="B497" s="18" t="s">
        <v>102</v>
      </c>
      <c r="C497" s="5" t="s">
        <v>254</v>
      </c>
      <c r="D497" s="17"/>
      <c r="E497" s="17"/>
      <c r="G497" s="128">
        <f t="shared" si="80"/>
        <v>0</v>
      </c>
      <c r="H497" s="112" t="e">
        <f t="shared" si="81"/>
        <v>#DIV/0!</v>
      </c>
    </row>
    <row r="498" spans="1:8" x14ac:dyDescent="0.25">
      <c r="A498" s="18"/>
      <c r="B498" s="33" t="s">
        <v>194</v>
      </c>
      <c r="C498" s="34" t="s">
        <v>195</v>
      </c>
      <c r="D498" s="88">
        <v>427</v>
      </c>
      <c r="E498" s="86">
        <f>'[1]BVC 2022 '!D498</f>
        <v>450</v>
      </c>
      <c r="G498" s="128">
        <f t="shared" si="80"/>
        <v>23</v>
      </c>
      <c r="H498" s="112">
        <f t="shared" si="81"/>
        <v>5.3864168618266977</v>
      </c>
    </row>
    <row r="499" spans="1:8" x14ac:dyDescent="0.25">
      <c r="A499" s="18"/>
      <c r="B499" s="33" t="s">
        <v>196</v>
      </c>
      <c r="C499" s="34" t="s">
        <v>197</v>
      </c>
      <c r="D499" s="88">
        <v>425</v>
      </c>
      <c r="E499" s="86">
        <f>'[1]BVC 2022 '!D499</f>
        <v>450</v>
      </c>
      <c r="G499" s="128">
        <f t="shared" si="80"/>
        <v>25</v>
      </c>
      <c r="H499" s="112">
        <f t="shared" si="81"/>
        <v>5.8823529411764701</v>
      </c>
    </row>
    <row r="500" spans="1:8" x14ac:dyDescent="0.25">
      <c r="A500" s="21" t="s">
        <v>150</v>
      </c>
      <c r="B500" s="21" t="s">
        <v>129</v>
      </c>
      <c r="C500" s="22" t="s">
        <v>38</v>
      </c>
      <c r="D500" s="23"/>
      <c r="E500" s="23"/>
      <c r="G500" s="128">
        <f t="shared" si="80"/>
        <v>0</v>
      </c>
      <c r="H500" s="112" t="e">
        <f t="shared" si="81"/>
        <v>#DIV/0!</v>
      </c>
    </row>
    <row r="501" spans="1:8" x14ac:dyDescent="0.25">
      <c r="A501" s="21"/>
      <c r="B501" s="21" t="s">
        <v>194</v>
      </c>
      <c r="C501" s="22" t="s">
        <v>195</v>
      </c>
      <c r="D501" s="23">
        <f t="shared" ref="D501:E502" si="89">D504</f>
        <v>0</v>
      </c>
      <c r="E501" s="23">
        <f t="shared" si="89"/>
        <v>450</v>
      </c>
      <c r="G501" s="128">
        <f t="shared" si="80"/>
        <v>450</v>
      </c>
      <c r="H501" s="112" t="e">
        <f t="shared" si="81"/>
        <v>#DIV/0!</v>
      </c>
    </row>
    <row r="502" spans="1:8" x14ac:dyDescent="0.25">
      <c r="A502" s="21"/>
      <c r="B502" s="21" t="s">
        <v>196</v>
      </c>
      <c r="C502" s="22" t="s">
        <v>197</v>
      </c>
      <c r="D502" s="23">
        <f t="shared" si="89"/>
        <v>0</v>
      </c>
      <c r="E502" s="23">
        <f t="shared" si="89"/>
        <v>450</v>
      </c>
      <c r="G502" s="128">
        <f t="shared" si="80"/>
        <v>450</v>
      </c>
      <c r="H502" s="112" t="e">
        <f t="shared" si="81"/>
        <v>#DIV/0!</v>
      </c>
    </row>
    <row r="503" spans="1:8" x14ac:dyDescent="0.25">
      <c r="A503" s="18" t="s">
        <v>150</v>
      </c>
      <c r="B503" s="18" t="s">
        <v>152</v>
      </c>
      <c r="C503" s="5" t="s">
        <v>138</v>
      </c>
      <c r="D503" s="17"/>
      <c r="E503" s="17"/>
      <c r="G503" s="128">
        <f t="shared" si="80"/>
        <v>0</v>
      </c>
      <c r="H503" s="112" t="e">
        <f t="shared" si="81"/>
        <v>#DIV/0!</v>
      </c>
    </row>
    <row r="504" spans="1:8" x14ac:dyDescent="0.25">
      <c r="A504" s="18"/>
      <c r="B504" s="33" t="s">
        <v>194</v>
      </c>
      <c r="C504" s="34" t="s">
        <v>195</v>
      </c>
      <c r="D504" s="88">
        <v>0</v>
      </c>
      <c r="E504" s="86">
        <f>'[1]BVC 2022 '!D504</f>
        <v>450</v>
      </c>
      <c r="G504" s="128">
        <f t="shared" si="80"/>
        <v>450</v>
      </c>
      <c r="H504" s="112" t="e">
        <f t="shared" si="81"/>
        <v>#DIV/0!</v>
      </c>
    </row>
    <row r="505" spans="1:8" x14ac:dyDescent="0.25">
      <c r="A505" s="18"/>
      <c r="B505" s="33" t="s">
        <v>196</v>
      </c>
      <c r="C505" s="34" t="s">
        <v>197</v>
      </c>
      <c r="D505" s="88">
        <v>0</v>
      </c>
      <c r="E505" s="86">
        <f>'[1]BVC 2022 '!D505</f>
        <v>450</v>
      </c>
      <c r="G505" s="128">
        <f t="shared" si="80"/>
        <v>450</v>
      </c>
      <c r="H505" s="112" t="e">
        <f t="shared" si="81"/>
        <v>#DIV/0!</v>
      </c>
    </row>
    <row r="506" spans="1:8" x14ac:dyDescent="0.25">
      <c r="A506" s="36" t="s">
        <v>30</v>
      </c>
      <c r="B506" s="36"/>
      <c r="C506" s="37" t="s">
        <v>153</v>
      </c>
      <c r="D506" s="38"/>
      <c r="E506" s="38"/>
      <c r="G506" s="128">
        <f t="shared" si="80"/>
        <v>0</v>
      </c>
      <c r="H506" s="112" t="e">
        <f t="shared" si="81"/>
        <v>#DIV/0!</v>
      </c>
    </row>
    <row r="507" spans="1:8" x14ac:dyDescent="0.25">
      <c r="A507" s="36"/>
      <c r="B507" s="36" t="s">
        <v>194</v>
      </c>
      <c r="C507" s="37" t="s">
        <v>195</v>
      </c>
      <c r="D507" s="38">
        <f t="shared" ref="D507:E508" si="90">D510</f>
        <v>0</v>
      </c>
      <c r="E507" s="38">
        <f t="shared" si="90"/>
        <v>9614</v>
      </c>
      <c r="G507" s="128">
        <f t="shared" si="80"/>
        <v>9614</v>
      </c>
      <c r="H507" s="112" t="e">
        <f t="shared" si="81"/>
        <v>#DIV/0!</v>
      </c>
    </row>
    <row r="508" spans="1:8" x14ac:dyDescent="0.25">
      <c r="A508" s="36"/>
      <c r="B508" s="36" t="s">
        <v>196</v>
      </c>
      <c r="C508" s="37" t="s">
        <v>197</v>
      </c>
      <c r="D508" s="38">
        <f t="shared" si="90"/>
        <v>0</v>
      </c>
      <c r="E508" s="38">
        <f t="shared" si="90"/>
        <v>9614</v>
      </c>
      <c r="G508" s="128">
        <f t="shared" si="80"/>
        <v>9614</v>
      </c>
      <c r="H508" s="112" t="e">
        <f t="shared" si="81"/>
        <v>#DIV/0!</v>
      </c>
    </row>
    <row r="509" spans="1:8" x14ac:dyDescent="0.25">
      <c r="A509" s="36" t="s">
        <v>30</v>
      </c>
      <c r="B509" s="36" t="s">
        <v>41</v>
      </c>
      <c r="C509" s="37" t="s">
        <v>202</v>
      </c>
      <c r="D509" s="38"/>
      <c r="E509" s="38"/>
      <c r="G509" s="128">
        <f t="shared" si="80"/>
        <v>0</v>
      </c>
      <c r="H509" s="112" t="e">
        <f t="shared" si="81"/>
        <v>#DIV/0!</v>
      </c>
    </row>
    <row r="510" spans="1:8" x14ac:dyDescent="0.25">
      <c r="A510" s="36"/>
      <c r="B510" s="36" t="s">
        <v>194</v>
      </c>
      <c r="C510" s="37" t="s">
        <v>195</v>
      </c>
      <c r="D510" s="38">
        <f t="shared" ref="D510:E511" si="91">D513</f>
        <v>0</v>
      </c>
      <c r="E510" s="38">
        <f t="shared" si="91"/>
        <v>9614</v>
      </c>
      <c r="G510" s="128">
        <f t="shared" si="80"/>
        <v>9614</v>
      </c>
      <c r="H510" s="112" t="e">
        <f t="shared" si="81"/>
        <v>#DIV/0!</v>
      </c>
    </row>
    <row r="511" spans="1:8" x14ac:dyDescent="0.25">
      <c r="A511" s="36"/>
      <c r="B511" s="36" t="s">
        <v>196</v>
      </c>
      <c r="C511" s="37" t="s">
        <v>197</v>
      </c>
      <c r="D511" s="38">
        <f t="shared" si="91"/>
        <v>0</v>
      </c>
      <c r="E511" s="38">
        <f t="shared" si="91"/>
        <v>9614</v>
      </c>
      <c r="G511" s="128">
        <f t="shared" si="80"/>
        <v>9614</v>
      </c>
      <c r="H511" s="112" t="e">
        <f t="shared" si="81"/>
        <v>#DIV/0!</v>
      </c>
    </row>
    <row r="512" spans="1:8" x14ac:dyDescent="0.25">
      <c r="A512" s="36" t="s">
        <v>30</v>
      </c>
      <c r="B512" s="36" t="s">
        <v>32</v>
      </c>
      <c r="C512" s="37" t="s">
        <v>33</v>
      </c>
      <c r="D512" s="38"/>
      <c r="E512" s="38"/>
      <c r="G512" s="128">
        <f t="shared" si="80"/>
        <v>0</v>
      </c>
      <c r="H512" s="112" t="e">
        <f t="shared" si="81"/>
        <v>#DIV/0!</v>
      </c>
    </row>
    <row r="513" spans="1:8" x14ac:dyDescent="0.25">
      <c r="A513" s="36"/>
      <c r="B513" s="36" t="s">
        <v>194</v>
      </c>
      <c r="C513" s="37" t="s">
        <v>195</v>
      </c>
      <c r="D513" s="38">
        <f>D516+D525</f>
        <v>0</v>
      </c>
      <c r="E513" s="38">
        <f t="shared" ref="E513:E514" si="92">E516+E525</f>
        <v>9614</v>
      </c>
      <c r="G513" s="128">
        <f t="shared" si="80"/>
        <v>9614</v>
      </c>
      <c r="H513" s="112" t="e">
        <f t="shared" si="81"/>
        <v>#DIV/0!</v>
      </c>
    </row>
    <row r="514" spans="1:8" x14ac:dyDescent="0.25">
      <c r="A514" s="36"/>
      <c r="B514" s="36" t="s">
        <v>196</v>
      </c>
      <c r="C514" s="37" t="s">
        <v>197</v>
      </c>
      <c r="D514" s="38">
        <f>D517+D526</f>
        <v>0</v>
      </c>
      <c r="E514" s="38">
        <f t="shared" si="92"/>
        <v>9614</v>
      </c>
      <c r="G514" s="128">
        <f t="shared" si="80"/>
        <v>9614</v>
      </c>
      <c r="H514" s="112" t="e">
        <f t="shared" si="81"/>
        <v>#DIV/0!</v>
      </c>
    </row>
    <row r="515" spans="1:8" ht="25.5" x14ac:dyDescent="0.25">
      <c r="A515" s="36" t="s">
        <v>30</v>
      </c>
      <c r="B515" s="48" t="s">
        <v>115</v>
      </c>
      <c r="C515" s="49" t="s">
        <v>199</v>
      </c>
      <c r="D515" s="39"/>
      <c r="E515" s="39"/>
      <c r="G515" s="128">
        <f t="shared" si="80"/>
        <v>0</v>
      </c>
      <c r="H515" s="112" t="e">
        <f t="shared" si="81"/>
        <v>#DIV/0!</v>
      </c>
    </row>
    <row r="516" spans="1:8" x14ac:dyDescent="0.25">
      <c r="A516" s="36"/>
      <c r="B516" s="36" t="s">
        <v>194</v>
      </c>
      <c r="C516" s="37" t="s">
        <v>195</v>
      </c>
      <c r="D516" s="39">
        <f t="shared" ref="D516:E517" si="93">D519</f>
        <v>0</v>
      </c>
      <c r="E516" s="39">
        <f t="shared" si="93"/>
        <v>7</v>
      </c>
      <c r="G516" s="128">
        <f t="shared" si="80"/>
        <v>7</v>
      </c>
      <c r="H516" s="112" t="e">
        <f t="shared" si="81"/>
        <v>#DIV/0!</v>
      </c>
    </row>
    <row r="517" spans="1:8" x14ac:dyDescent="0.25">
      <c r="A517" s="36"/>
      <c r="B517" s="36" t="s">
        <v>196</v>
      </c>
      <c r="C517" s="37" t="s">
        <v>197</v>
      </c>
      <c r="D517" s="39">
        <f t="shared" si="93"/>
        <v>0</v>
      </c>
      <c r="E517" s="39">
        <f t="shared" si="93"/>
        <v>7</v>
      </c>
      <c r="G517" s="128">
        <f t="shared" si="80"/>
        <v>7</v>
      </c>
      <c r="H517" s="112" t="e">
        <f t="shared" si="81"/>
        <v>#DIV/0!</v>
      </c>
    </row>
    <row r="518" spans="1:8" x14ac:dyDescent="0.25">
      <c r="A518" s="36" t="s">
        <v>30</v>
      </c>
      <c r="B518" s="48" t="s">
        <v>154</v>
      </c>
      <c r="C518" s="49" t="s">
        <v>155</v>
      </c>
      <c r="D518" s="39"/>
      <c r="E518" s="39"/>
      <c r="G518" s="128">
        <f t="shared" si="80"/>
        <v>0</v>
      </c>
      <c r="H518" s="112" t="e">
        <f t="shared" si="81"/>
        <v>#DIV/0!</v>
      </c>
    </row>
    <row r="519" spans="1:8" x14ac:dyDescent="0.25">
      <c r="A519" s="36"/>
      <c r="B519" s="36" t="s">
        <v>194</v>
      </c>
      <c r="C519" s="37" t="s">
        <v>195</v>
      </c>
      <c r="D519" s="39">
        <f t="shared" ref="D519:E520" si="94">D522</f>
        <v>0</v>
      </c>
      <c r="E519" s="39">
        <f t="shared" si="94"/>
        <v>7</v>
      </c>
      <c r="G519" s="128">
        <f t="shared" si="80"/>
        <v>7</v>
      </c>
      <c r="H519" s="112" t="e">
        <f t="shared" si="81"/>
        <v>#DIV/0!</v>
      </c>
    </row>
    <row r="520" spans="1:8" x14ac:dyDescent="0.25">
      <c r="A520" s="36"/>
      <c r="B520" s="36" t="s">
        <v>196</v>
      </c>
      <c r="C520" s="37" t="s">
        <v>197</v>
      </c>
      <c r="D520" s="39">
        <f t="shared" si="94"/>
        <v>0</v>
      </c>
      <c r="E520" s="39">
        <f t="shared" si="94"/>
        <v>7</v>
      </c>
      <c r="G520" s="128">
        <f t="shared" si="80"/>
        <v>7</v>
      </c>
      <c r="H520" s="112" t="e">
        <f t="shared" si="81"/>
        <v>#DIV/0!</v>
      </c>
    </row>
    <row r="521" spans="1:8" x14ac:dyDescent="0.25">
      <c r="A521" s="18" t="s">
        <v>30</v>
      </c>
      <c r="B521" s="12" t="s">
        <v>156</v>
      </c>
      <c r="C521" s="53" t="s">
        <v>246</v>
      </c>
      <c r="D521" s="73"/>
      <c r="E521" s="73"/>
      <c r="G521" s="128">
        <f t="shared" si="80"/>
        <v>0</v>
      </c>
      <c r="H521" s="112" t="e">
        <f t="shared" si="81"/>
        <v>#DIV/0!</v>
      </c>
    </row>
    <row r="522" spans="1:8" x14ac:dyDescent="0.25">
      <c r="A522" s="18"/>
      <c r="B522" s="33" t="s">
        <v>194</v>
      </c>
      <c r="C522" s="34" t="s">
        <v>195</v>
      </c>
      <c r="D522" s="17">
        <v>0</v>
      </c>
      <c r="E522" s="86">
        <f>'[1]BVC 2022 '!D522</f>
        <v>7</v>
      </c>
      <c r="G522" s="128">
        <f t="shared" si="80"/>
        <v>7</v>
      </c>
      <c r="H522" s="112" t="e">
        <f t="shared" si="81"/>
        <v>#DIV/0!</v>
      </c>
    </row>
    <row r="523" spans="1:8" x14ac:dyDescent="0.25">
      <c r="A523" s="18"/>
      <c r="B523" s="33" t="s">
        <v>196</v>
      </c>
      <c r="C523" s="34" t="s">
        <v>197</v>
      </c>
      <c r="D523" s="29">
        <v>0</v>
      </c>
      <c r="E523" s="86">
        <f>'[1]BVC 2022 '!D523</f>
        <v>7</v>
      </c>
      <c r="G523" s="128">
        <f t="shared" si="80"/>
        <v>7</v>
      </c>
      <c r="H523" s="112" t="e">
        <f t="shared" si="81"/>
        <v>#DIV/0!</v>
      </c>
    </row>
    <row r="524" spans="1:8" ht="38.25" x14ac:dyDescent="0.25">
      <c r="A524" s="116" t="s">
        <v>30</v>
      </c>
      <c r="B524" s="48">
        <v>58</v>
      </c>
      <c r="C524" s="49" t="s">
        <v>200</v>
      </c>
      <c r="D524" s="39"/>
      <c r="E524" s="39"/>
      <c r="G524" s="128">
        <f t="shared" si="80"/>
        <v>0</v>
      </c>
      <c r="H524" s="112" t="e">
        <f t="shared" si="81"/>
        <v>#DIV/0!</v>
      </c>
    </row>
    <row r="525" spans="1:8" x14ac:dyDescent="0.25">
      <c r="A525" s="36"/>
      <c r="B525" s="36" t="s">
        <v>194</v>
      </c>
      <c r="C525" s="37" t="s">
        <v>195</v>
      </c>
      <c r="D525" s="39">
        <f t="shared" ref="D525:E526" si="95">D528</f>
        <v>0</v>
      </c>
      <c r="E525" s="39">
        <f t="shared" si="95"/>
        <v>9607</v>
      </c>
      <c r="G525" s="128">
        <f t="shared" si="80"/>
        <v>9607</v>
      </c>
      <c r="H525" s="112" t="e">
        <f t="shared" si="81"/>
        <v>#DIV/0!</v>
      </c>
    </row>
    <row r="526" spans="1:8" x14ac:dyDescent="0.25">
      <c r="A526" s="36"/>
      <c r="B526" s="36" t="s">
        <v>196</v>
      </c>
      <c r="C526" s="37" t="s">
        <v>197</v>
      </c>
      <c r="D526" s="39">
        <f t="shared" si="95"/>
        <v>0</v>
      </c>
      <c r="E526" s="39">
        <f t="shared" si="95"/>
        <v>9607</v>
      </c>
      <c r="G526" s="128">
        <f t="shared" si="80"/>
        <v>9607</v>
      </c>
      <c r="H526" s="112" t="e">
        <f t="shared" si="81"/>
        <v>#DIV/0!</v>
      </c>
    </row>
    <row r="527" spans="1:8" x14ac:dyDescent="0.25">
      <c r="A527" s="36" t="s">
        <v>30</v>
      </c>
      <c r="B527" s="117" t="s">
        <v>321</v>
      </c>
      <c r="C527" s="49" t="s">
        <v>155</v>
      </c>
      <c r="D527" s="39"/>
      <c r="E527" s="39"/>
      <c r="G527" s="128">
        <f t="shared" si="80"/>
        <v>0</v>
      </c>
      <c r="H527" s="112" t="e">
        <f t="shared" si="81"/>
        <v>#DIV/0!</v>
      </c>
    </row>
    <row r="528" spans="1:8" x14ac:dyDescent="0.25">
      <c r="A528" s="36"/>
      <c r="B528" s="36" t="s">
        <v>194</v>
      </c>
      <c r="C528" s="37" t="s">
        <v>195</v>
      </c>
      <c r="D528" s="39">
        <f t="shared" ref="D528:E529" si="96">D531</f>
        <v>0</v>
      </c>
      <c r="E528" s="39">
        <f t="shared" si="96"/>
        <v>9607</v>
      </c>
      <c r="G528" s="128">
        <f t="shared" si="80"/>
        <v>9607</v>
      </c>
      <c r="H528" s="112" t="e">
        <f t="shared" si="81"/>
        <v>#DIV/0!</v>
      </c>
    </row>
    <row r="529" spans="1:8" x14ac:dyDescent="0.25">
      <c r="A529" s="36"/>
      <c r="B529" s="36" t="s">
        <v>196</v>
      </c>
      <c r="C529" s="37" t="s">
        <v>197</v>
      </c>
      <c r="D529" s="39">
        <f t="shared" si="96"/>
        <v>0</v>
      </c>
      <c r="E529" s="39">
        <f t="shared" si="96"/>
        <v>9607</v>
      </c>
      <c r="G529" s="128">
        <f t="shared" si="80"/>
        <v>9607</v>
      </c>
      <c r="H529" s="112" t="e">
        <f t="shared" si="81"/>
        <v>#DIV/0!</v>
      </c>
    </row>
    <row r="530" spans="1:8" x14ac:dyDescent="0.25">
      <c r="A530" s="18" t="s">
        <v>30</v>
      </c>
      <c r="B530" s="12" t="s">
        <v>126</v>
      </c>
      <c r="C530" s="53" t="s">
        <v>246</v>
      </c>
      <c r="D530" s="73"/>
      <c r="E530" s="73"/>
      <c r="G530" s="128">
        <f t="shared" si="80"/>
        <v>0</v>
      </c>
      <c r="H530" s="112" t="e">
        <f t="shared" si="81"/>
        <v>#DIV/0!</v>
      </c>
    </row>
    <row r="531" spans="1:8" x14ac:dyDescent="0.25">
      <c r="A531" s="18"/>
      <c r="B531" s="33" t="s">
        <v>194</v>
      </c>
      <c r="C531" s="34" t="s">
        <v>195</v>
      </c>
      <c r="D531" s="17"/>
      <c r="E531" s="86">
        <f>'[1]BVC 2022 '!D531</f>
        <v>9607</v>
      </c>
      <c r="G531" s="128">
        <f t="shared" si="80"/>
        <v>9607</v>
      </c>
      <c r="H531" s="112" t="e">
        <f t="shared" si="81"/>
        <v>#DIV/0!</v>
      </c>
    </row>
    <row r="532" spans="1:8" x14ac:dyDescent="0.25">
      <c r="A532" s="18"/>
      <c r="B532" s="33" t="s">
        <v>196</v>
      </c>
      <c r="C532" s="34" t="s">
        <v>197</v>
      </c>
      <c r="D532" s="29"/>
      <c r="E532" s="86">
        <f>'[1]BVC 2022 '!D532</f>
        <v>9607</v>
      </c>
      <c r="G532" s="128">
        <f t="shared" si="80"/>
        <v>9607</v>
      </c>
      <c r="H532" s="112" t="e">
        <f t="shared" si="81"/>
        <v>#DIV/0!</v>
      </c>
    </row>
    <row r="533" spans="1:8" x14ac:dyDescent="0.25">
      <c r="A533" s="18" t="s">
        <v>30</v>
      </c>
      <c r="B533" s="12" t="s">
        <v>317</v>
      </c>
      <c r="C533" s="34" t="s">
        <v>318</v>
      </c>
      <c r="D533" s="29">
        <v>-4781</v>
      </c>
      <c r="E533" s="86"/>
      <c r="G533" s="128"/>
      <c r="H533" s="112"/>
    </row>
    <row r="534" spans="1:8" x14ac:dyDescent="0.25">
      <c r="A534" s="18" t="s">
        <v>30</v>
      </c>
      <c r="B534" s="18" t="s">
        <v>157</v>
      </c>
      <c r="C534" s="53" t="s">
        <v>158</v>
      </c>
      <c r="D534" s="73">
        <f>D9-D67</f>
        <v>108474</v>
      </c>
      <c r="E534" s="86">
        <f>'[1]BVC 2022 '!D533</f>
        <v>-119310</v>
      </c>
      <c r="G534" s="128">
        <f t="shared" ref="G534" si="97">E534-D534</f>
        <v>-227784</v>
      </c>
      <c r="H534" s="112">
        <f t="shared" ref="H534" si="98">G534/D534*100</f>
        <v>-209.98949056916865</v>
      </c>
    </row>
    <row r="536" spans="1:8" ht="15.75" hidden="1" x14ac:dyDescent="0.25">
      <c r="A536" s="102"/>
      <c r="B536" s="102"/>
      <c r="C536" s="102" t="s">
        <v>308</v>
      </c>
      <c r="D536" t="s">
        <v>341</v>
      </c>
    </row>
    <row r="537" spans="1:8" ht="18" hidden="1" customHeight="1" x14ac:dyDescent="0.25">
      <c r="A537" s="102"/>
      <c r="B537" s="102"/>
      <c r="C537" s="102" t="s">
        <v>309</v>
      </c>
      <c r="D537" t="s">
        <v>322</v>
      </c>
    </row>
    <row r="538" spans="1:8" s="85" customFormat="1" ht="18" customHeight="1" x14ac:dyDescent="0.25">
      <c r="C538" s="98"/>
      <c r="D538" s="99"/>
      <c r="E538" s="99"/>
    </row>
    <row r="539" spans="1:8" s="85" customFormat="1" ht="17.25" customHeight="1" x14ac:dyDescent="0.25">
      <c r="C539" s="98"/>
      <c r="D539" s="100"/>
      <c r="E539" s="100"/>
    </row>
    <row r="540" spans="1:8" s="85" customFormat="1" x14ac:dyDescent="0.25"/>
  </sheetData>
  <mergeCells count="2">
    <mergeCell ref="A5:C5"/>
    <mergeCell ref="A2:E3"/>
  </mergeCells>
  <pageMargins left="1.2" right="0.7" top="0.75" bottom="0.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BVC 2021 rectificat</vt:lpstr>
      <vt:lpstr>Influente bug 2021 vs. 2021 ini</vt:lpstr>
      <vt:lpstr>Ex 2021 vs buget 2021 init</vt:lpstr>
      <vt:lpstr>'BVC 2021 rectificat'!Print_Area</vt:lpstr>
      <vt:lpstr>'Ex 2021 vs buget 2021 init'!Print_Area</vt:lpstr>
      <vt:lpstr>'Influente bug 2021 vs. 2021 ini'!Print_Area</vt:lpstr>
      <vt:lpstr>'BVC 2021 rectificat'!Print_Titles</vt:lpstr>
      <vt:lpstr>'Ex 2021 vs buget 2021 init'!Print_Titles</vt:lpstr>
      <vt:lpstr>'Influente bug 2021 vs. 2021 ini'!Print_Titles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2022-09-28T08:09:29Z</dcterms:modified>
</cp:coreProperties>
</file>